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505" yWindow="-15" windowWidth="14310" windowHeight="11640" activeTab="3"/>
  </bookViews>
  <sheets>
    <sheet name="прил 1 Источн" sheetId="20" r:id="rId1"/>
    <sheet name="прил 2 Дох" sheetId="21" r:id="rId2"/>
    <sheet name="прил 3 Разд, подр-21г" sheetId="12" r:id="rId3"/>
    <sheet name="Вед стр 21г" sheetId="4" r:id="rId4"/>
    <sheet name="Лист1" sheetId="19" r:id="rId5"/>
  </sheets>
  <definedNames>
    <definedName name="_xlnm._FilterDatabase" localSheetId="3" hidden="1">'Вед стр 21г'!$A$7:$L$627</definedName>
    <definedName name="В11" localSheetId="2">#REF!</definedName>
    <definedName name="В11">#REF!</definedName>
    <definedName name="_xlnm.Print_Titles" localSheetId="3">'Вед стр 21г'!$8:$8</definedName>
    <definedName name="_xlnm.Print_Titles" localSheetId="1">'прил 2 Дох'!$9:$9</definedName>
    <definedName name="_xlnm.Print_Area" localSheetId="3">'Вед стр 21г'!$A$1:$I$565</definedName>
    <definedName name="_xlnm.Print_Area" localSheetId="1">'прил 2 Дох'!$A$1:$E$162</definedName>
    <definedName name="_xlnm.Print_Area" localSheetId="2">'прил 3 Разд, подр-21г'!$A$1:$F$66</definedName>
    <definedName name="_xlnm.Print_Area">#REF!</definedName>
    <definedName name="п" localSheetId="2">#REF!</definedName>
    <definedName name="п">#REF!</definedName>
    <definedName name="Прил16дляраб" localSheetId="2">#REF!</definedName>
    <definedName name="Прил16дляраб">#REF!</definedName>
  </definedNames>
  <calcPr calcId="144525"/>
</workbook>
</file>

<file path=xl/calcChain.xml><?xml version="1.0" encoding="utf-8"?>
<calcChain xmlns="http://schemas.openxmlformats.org/spreadsheetml/2006/main">
  <c r="C13" i="21" l="1"/>
  <c r="C12" i="21" s="1"/>
  <c r="C11" i="21" s="1"/>
  <c r="C14" i="21"/>
  <c r="D14" i="21"/>
  <c r="D13" i="21" s="1"/>
  <c r="E15" i="21"/>
  <c r="E16" i="21"/>
  <c r="E17" i="21"/>
  <c r="C20" i="21"/>
  <c r="C19" i="21" s="1"/>
  <c r="D20" i="21"/>
  <c r="D19" i="21" s="1"/>
  <c r="E19" i="21" s="1"/>
  <c r="E21" i="21"/>
  <c r="E22" i="21"/>
  <c r="E23" i="21"/>
  <c r="C25" i="21"/>
  <c r="D25" i="21"/>
  <c r="E25" i="21"/>
  <c r="E26" i="21"/>
  <c r="E27" i="21"/>
  <c r="D28" i="21"/>
  <c r="E28" i="21"/>
  <c r="E29" i="21"/>
  <c r="E30" i="21"/>
  <c r="E31" i="21"/>
  <c r="C33" i="21"/>
  <c r="D33" i="21"/>
  <c r="E33" i="21" s="1"/>
  <c r="E34" i="21"/>
  <c r="C35" i="21"/>
  <c r="D35" i="21"/>
  <c r="E35" i="21" s="1"/>
  <c r="E36" i="21"/>
  <c r="C38" i="21"/>
  <c r="D38" i="21"/>
  <c r="E38" i="21" s="1"/>
  <c r="E39" i="21"/>
  <c r="E40" i="21"/>
  <c r="E41" i="21"/>
  <c r="C44" i="21"/>
  <c r="E44" i="21" s="1"/>
  <c r="C45" i="21"/>
  <c r="E45" i="21"/>
  <c r="C46" i="21"/>
  <c r="C43" i="21" s="1"/>
  <c r="C42" i="21" s="1"/>
  <c r="D46" i="21"/>
  <c r="D43" i="21" s="1"/>
  <c r="E47" i="21"/>
  <c r="E48" i="21"/>
  <c r="E49" i="21"/>
  <c r="C50" i="21"/>
  <c r="D50" i="21"/>
  <c r="E50" i="21"/>
  <c r="E51" i="21"/>
  <c r="C52" i="21"/>
  <c r="E52" i="21"/>
  <c r="C53" i="21"/>
  <c r="E53" i="21" s="1"/>
  <c r="E54" i="21"/>
  <c r="C55" i="21"/>
  <c r="E55" i="21"/>
  <c r="C56" i="21"/>
  <c r="E56" i="21" s="1"/>
  <c r="C57" i="21"/>
  <c r="E57" i="21"/>
  <c r="C58" i="21"/>
  <c r="E58" i="21" s="1"/>
  <c r="C60" i="21"/>
  <c r="D60" i="21"/>
  <c r="E60" i="21" s="1"/>
  <c r="E61" i="21"/>
  <c r="E62" i="21"/>
  <c r="E63" i="21"/>
  <c r="C64" i="21"/>
  <c r="E64" i="21" s="1"/>
  <c r="D64" i="21"/>
  <c r="E65" i="21"/>
  <c r="E66" i="21"/>
  <c r="E67" i="21"/>
  <c r="C68" i="21"/>
  <c r="E68" i="21"/>
  <c r="C69" i="21"/>
  <c r="E69" i="21" s="1"/>
  <c r="C70" i="21"/>
  <c r="E70" i="21"/>
  <c r="E71" i="21"/>
  <c r="C72" i="21"/>
  <c r="D72" i="21"/>
  <c r="C77" i="21"/>
  <c r="D77" i="21"/>
  <c r="E77" i="21"/>
  <c r="E78" i="21"/>
  <c r="E79" i="21"/>
  <c r="C80" i="21"/>
  <c r="E80" i="21"/>
  <c r="C81" i="21"/>
  <c r="E81" i="21" s="1"/>
  <c r="C82" i="21"/>
  <c r="E82" i="21"/>
  <c r="C84" i="21"/>
  <c r="E84" i="21" s="1"/>
  <c r="E85" i="21"/>
  <c r="E86" i="21"/>
  <c r="E87" i="21"/>
  <c r="E88" i="21"/>
  <c r="E89" i="21"/>
  <c r="E91" i="21"/>
  <c r="E92" i="21"/>
  <c r="E93" i="21"/>
  <c r="D94" i="21"/>
  <c r="D83" i="21" s="1"/>
  <c r="C95" i="21"/>
  <c r="E95" i="21" s="1"/>
  <c r="D95" i="21"/>
  <c r="E96" i="21"/>
  <c r="E97" i="21"/>
  <c r="E98" i="21"/>
  <c r="E99" i="21"/>
  <c r="E100" i="21"/>
  <c r="E101" i="21"/>
  <c r="E102" i="21"/>
  <c r="E103" i="21"/>
  <c r="E104" i="21"/>
  <c r="E105" i="21"/>
  <c r="E106" i="21"/>
  <c r="E107" i="21"/>
  <c r="C109" i="21"/>
  <c r="E109" i="21"/>
  <c r="C110" i="21"/>
  <c r="E110" i="21"/>
  <c r="C111" i="21"/>
  <c r="E111" i="21"/>
  <c r="C112" i="21"/>
  <c r="E112" i="21"/>
  <c r="C113" i="21"/>
  <c r="E113" i="21"/>
  <c r="C114" i="21"/>
  <c r="E114" i="21"/>
  <c r="C115" i="21"/>
  <c r="E115" i="21"/>
  <c r="C116" i="21"/>
  <c r="E116" i="21"/>
  <c r="C117" i="21"/>
  <c r="E117" i="21"/>
  <c r="C118" i="21"/>
  <c r="E118" i="21"/>
  <c r="C119" i="21"/>
  <c r="E119" i="21"/>
  <c r="C120" i="21"/>
  <c r="E120" i="21"/>
  <c r="C121" i="21"/>
  <c r="C108" i="21" s="1"/>
  <c r="D121" i="21"/>
  <c r="D108" i="21" s="1"/>
  <c r="C122" i="21"/>
  <c r="D122" i="21"/>
  <c r="E122" i="21"/>
  <c r="E123" i="21"/>
  <c r="E124" i="21"/>
  <c r="E125" i="21"/>
  <c r="E126" i="21"/>
  <c r="E127" i="21"/>
  <c r="E128" i="21"/>
  <c r="E129" i="21"/>
  <c r="E130" i="21"/>
  <c r="E131" i="21"/>
  <c r="E132" i="21"/>
  <c r="E133" i="21"/>
  <c r="E134" i="21"/>
  <c r="E135" i="21"/>
  <c r="E136" i="21"/>
  <c r="E137" i="21"/>
  <c r="E138" i="21"/>
  <c r="C139" i="21"/>
  <c r="E139" i="21"/>
  <c r="C140" i="21"/>
  <c r="E140" i="21"/>
  <c r="C141" i="21"/>
  <c r="E141" i="21"/>
  <c r="C142" i="21"/>
  <c r="E142" i="21"/>
  <c r="C143" i="21"/>
  <c r="E143" i="21"/>
  <c r="C144" i="21"/>
  <c r="E144" i="21"/>
  <c r="C145" i="21"/>
  <c r="E145" i="21"/>
  <c r="E146" i="21"/>
  <c r="C147" i="21"/>
  <c r="E147" i="21" s="1"/>
  <c r="D147" i="21"/>
  <c r="E148" i="21"/>
  <c r="C149" i="21"/>
  <c r="E149" i="21" s="1"/>
  <c r="C150" i="21"/>
  <c r="E150" i="21"/>
  <c r="C151" i="21"/>
  <c r="E151" i="21" s="1"/>
  <c r="C152" i="21"/>
  <c r="E152" i="21"/>
  <c r="E153" i="21"/>
  <c r="E154" i="21"/>
  <c r="E155" i="21"/>
  <c r="C156" i="21"/>
  <c r="D156" i="21"/>
  <c r="E156" i="21" s="1"/>
  <c r="E157" i="21"/>
  <c r="E158" i="21"/>
  <c r="E159" i="21"/>
  <c r="E160" i="21"/>
  <c r="C161" i="21"/>
  <c r="D161" i="21"/>
  <c r="E161" i="21"/>
  <c r="E162" i="21"/>
  <c r="C11" i="20"/>
  <c r="C10" i="20" s="1"/>
  <c r="C13" i="20"/>
  <c r="C17" i="20"/>
  <c r="C16" i="20" s="1"/>
  <c r="D17" i="20"/>
  <c r="C19" i="20"/>
  <c r="D19" i="20"/>
  <c r="D16" i="20" s="1"/>
  <c r="D22" i="20"/>
  <c r="D21" i="20" s="1"/>
  <c r="C23" i="20"/>
  <c r="C22" i="20" s="1"/>
  <c r="C21" i="20" s="1"/>
  <c r="D23" i="20"/>
  <c r="D25" i="20"/>
  <c r="C26" i="20"/>
  <c r="C25" i="20" s="1"/>
  <c r="D26" i="20"/>
  <c r="C32" i="20"/>
  <c r="C31" i="20" s="1"/>
  <c r="C30" i="20" s="1"/>
  <c r="C29" i="20" s="1"/>
  <c r="D32" i="20"/>
  <c r="D31" i="20" s="1"/>
  <c r="D30" i="20" s="1"/>
  <c r="D29" i="20" s="1"/>
  <c r="D42" i="21" l="1"/>
  <c r="E42" i="21" s="1"/>
  <c r="E43" i="21"/>
  <c r="E108" i="21"/>
  <c r="D76" i="21"/>
  <c r="D12" i="21"/>
  <c r="E13" i="21"/>
  <c r="E121" i="21"/>
  <c r="C94" i="21"/>
  <c r="E46" i="21"/>
  <c r="E20" i="21"/>
  <c r="E14" i="21"/>
  <c r="C9" i="20"/>
  <c r="C8" i="20" s="1"/>
  <c r="D9" i="20"/>
  <c r="D8" i="20" s="1"/>
  <c r="D15" i="12"/>
  <c r="E15" i="12"/>
  <c r="D16" i="12"/>
  <c r="E16" i="12"/>
  <c r="D18" i="12"/>
  <c r="E18" i="12"/>
  <c r="D20" i="12"/>
  <c r="E20" i="12"/>
  <c r="D23" i="12"/>
  <c r="E23" i="12"/>
  <c r="D32" i="12"/>
  <c r="E32" i="12"/>
  <c r="D33" i="12"/>
  <c r="E33" i="12"/>
  <c r="D38" i="12"/>
  <c r="E38" i="12"/>
  <c r="D44" i="12"/>
  <c r="E44" i="12"/>
  <c r="D45" i="12"/>
  <c r="E45" i="12"/>
  <c r="D46" i="12"/>
  <c r="E46" i="12"/>
  <c r="D47" i="12"/>
  <c r="E47" i="12"/>
  <c r="D48" i="12"/>
  <c r="E48" i="12"/>
  <c r="D51" i="12"/>
  <c r="E51" i="12"/>
  <c r="D57" i="12"/>
  <c r="E57" i="12"/>
  <c r="D65" i="12"/>
  <c r="E65" i="12"/>
  <c r="D13" i="12"/>
  <c r="E13" i="12"/>
  <c r="F65" i="12" l="1"/>
  <c r="F57" i="12"/>
  <c r="F51" i="12"/>
  <c r="F47" i="12"/>
  <c r="F45" i="12"/>
  <c r="F33" i="12"/>
  <c r="F23" i="12"/>
  <c r="F15" i="12"/>
  <c r="C83" i="21"/>
  <c r="E94" i="21"/>
  <c r="D11" i="21"/>
  <c r="E12" i="21"/>
  <c r="D75" i="21"/>
  <c r="F13" i="12"/>
  <c r="F48" i="12"/>
  <c r="F46" i="12"/>
  <c r="F44" i="12"/>
  <c r="F38" i="12"/>
  <c r="F32" i="12"/>
  <c r="F20" i="12"/>
  <c r="F18" i="12"/>
  <c r="F16" i="12"/>
  <c r="H444" i="4"/>
  <c r="G444" i="4"/>
  <c r="H427" i="4"/>
  <c r="G427" i="4"/>
  <c r="H307" i="4"/>
  <c r="G307" i="4"/>
  <c r="G151" i="4"/>
  <c r="C76" i="21" l="1"/>
  <c r="E83" i="21"/>
  <c r="D10" i="21"/>
  <c r="E11" i="21"/>
  <c r="H109" i="4"/>
  <c r="H106" i="4"/>
  <c r="C75" i="21" l="1"/>
  <c r="E76" i="21"/>
  <c r="I636" i="4"/>
  <c r="I641" i="4"/>
  <c r="I644" i="4"/>
  <c r="I647" i="4"/>
  <c r="I654" i="4"/>
  <c r="I657" i="4"/>
  <c r="I659" i="4"/>
  <c r="I661" i="4"/>
  <c r="I670" i="4"/>
  <c r="I671" i="4"/>
  <c r="I575" i="4"/>
  <c r="I576" i="4"/>
  <c r="I578" i="4"/>
  <c r="I580" i="4"/>
  <c r="I583" i="4"/>
  <c r="I592" i="4"/>
  <c r="I593" i="4"/>
  <c r="I598" i="4"/>
  <c r="I604" i="4"/>
  <c r="I605" i="4"/>
  <c r="I606" i="4"/>
  <c r="I607" i="4"/>
  <c r="I608" i="4"/>
  <c r="I611" i="4"/>
  <c r="I617" i="4"/>
  <c r="I625" i="4"/>
  <c r="G380" i="4"/>
  <c r="G374" i="4"/>
  <c r="G356" i="4"/>
  <c r="G310" i="4"/>
  <c r="G306" i="4"/>
  <c r="G286" i="4"/>
  <c r="I286" i="4" s="1"/>
  <c r="G274" i="4"/>
  <c r="G245" i="4"/>
  <c r="G240" i="4"/>
  <c r="G234" i="4"/>
  <c r="G231" i="4"/>
  <c r="H18" i="4"/>
  <c r="H306" i="4"/>
  <c r="H541" i="4"/>
  <c r="I541" i="4" s="1"/>
  <c r="H520" i="4"/>
  <c r="I520" i="4" s="1"/>
  <c r="H123" i="4"/>
  <c r="H132" i="4"/>
  <c r="H549" i="4"/>
  <c r="I549" i="4" s="1"/>
  <c r="H544" i="4"/>
  <c r="I544" i="4" s="1"/>
  <c r="H542" i="4"/>
  <c r="I542" i="4" s="1"/>
  <c r="H539" i="4"/>
  <c r="H535" i="4"/>
  <c r="H533" i="4"/>
  <c r="I533" i="4" s="1"/>
  <c r="H511" i="4"/>
  <c r="I511" i="4" s="1"/>
  <c r="H487" i="4"/>
  <c r="I487" i="4" s="1"/>
  <c r="H402" i="4"/>
  <c r="I402" i="4" s="1"/>
  <c r="H381" i="4"/>
  <c r="H380" i="4"/>
  <c r="H374" i="4"/>
  <c r="H372" i="4"/>
  <c r="H371" i="4"/>
  <c r="I371" i="4" s="1"/>
  <c r="H369" i="4"/>
  <c r="H357" i="4"/>
  <c r="I357" i="4" s="1"/>
  <c r="H356" i="4"/>
  <c r="H310" i="4"/>
  <c r="H299" i="4"/>
  <c r="H291" i="4"/>
  <c r="I291" i="4" s="1"/>
  <c r="H274" i="4"/>
  <c r="H263" i="4"/>
  <c r="I263" i="4" s="1"/>
  <c r="H255" i="4"/>
  <c r="I255" i="4" s="1"/>
  <c r="H250" i="4"/>
  <c r="H245" i="4"/>
  <c r="I245" i="4" s="1"/>
  <c r="H240" i="4"/>
  <c r="H234" i="4"/>
  <c r="H231" i="4"/>
  <c r="H227" i="4"/>
  <c r="I227" i="4" s="1"/>
  <c r="H152" i="4"/>
  <c r="H151" i="4" s="1"/>
  <c r="H150" i="4"/>
  <c r="I150" i="4" s="1"/>
  <c r="I132" i="4"/>
  <c r="H130" i="4"/>
  <c r="I130" i="4" s="1"/>
  <c r="H119" i="4"/>
  <c r="H117" i="4"/>
  <c r="I117" i="4" s="1"/>
  <c r="H115" i="4"/>
  <c r="I115" i="4" s="1"/>
  <c r="I106" i="4"/>
  <c r="H96" i="4"/>
  <c r="I96" i="4" s="1"/>
  <c r="H93" i="4"/>
  <c r="I93" i="4" s="1"/>
  <c r="H81" i="4"/>
  <c r="I81" i="4" s="1"/>
  <c r="H48" i="4"/>
  <c r="I48" i="4" s="1"/>
  <c r="H46" i="4"/>
  <c r="I46" i="4" s="1"/>
  <c r="H44" i="4"/>
  <c r="I44" i="4" s="1"/>
  <c r="H38" i="4"/>
  <c r="I38" i="4" s="1"/>
  <c r="H35" i="4"/>
  <c r="I35" i="4" s="1"/>
  <c r="H32" i="4"/>
  <c r="I32" i="4" s="1"/>
  <c r="H30" i="4"/>
  <c r="I30" i="4" s="1"/>
  <c r="H26" i="4"/>
  <c r="I26" i="4" s="1"/>
  <c r="H24" i="4"/>
  <c r="I24" i="4" s="1"/>
  <c r="H16" i="4"/>
  <c r="I16" i="4" s="1"/>
  <c r="I20" i="4"/>
  <c r="I22" i="4"/>
  <c r="I28" i="4"/>
  <c r="I50" i="4"/>
  <c r="I52" i="4"/>
  <c r="I54" i="4"/>
  <c r="I56" i="4"/>
  <c r="I58" i="4"/>
  <c r="I60" i="4"/>
  <c r="I62" i="4"/>
  <c r="I64" i="4"/>
  <c r="I66" i="4"/>
  <c r="I69" i="4"/>
  <c r="I72" i="4"/>
  <c r="I75" i="4"/>
  <c r="I83" i="4"/>
  <c r="I85" i="4"/>
  <c r="I87" i="4"/>
  <c r="I89" i="4"/>
  <c r="I91" i="4"/>
  <c r="I98" i="4"/>
  <c r="I100" i="4"/>
  <c r="I108" i="4"/>
  <c r="I109" i="4"/>
  <c r="I123" i="4"/>
  <c r="I125" i="4"/>
  <c r="I126" i="4"/>
  <c r="I128" i="4"/>
  <c r="I134" i="4"/>
  <c r="I141" i="4"/>
  <c r="I142" i="4"/>
  <c r="I154" i="4"/>
  <c r="I161" i="4"/>
  <c r="I168" i="4"/>
  <c r="I174" i="4"/>
  <c r="I176" i="4"/>
  <c r="I182" i="4"/>
  <c r="I189" i="4"/>
  <c r="I196" i="4"/>
  <c r="I201" i="4"/>
  <c r="I208" i="4"/>
  <c r="I214" i="4"/>
  <c r="I216" i="4"/>
  <c r="I218" i="4"/>
  <c r="I221" i="4"/>
  <c r="I242" i="4"/>
  <c r="I256" i="4"/>
  <c r="I260" i="4"/>
  <c r="I269" i="4"/>
  <c r="I278" i="4"/>
  <c r="I280" i="4"/>
  <c r="I292" i="4"/>
  <c r="I297" i="4"/>
  <c r="I308" i="4"/>
  <c r="I314" i="4"/>
  <c r="I317" i="4"/>
  <c r="I319" i="4"/>
  <c r="I325" i="4"/>
  <c r="I332" i="4"/>
  <c r="I334" i="4"/>
  <c r="I336" i="4"/>
  <c r="I342" i="4"/>
  <c r="I348" i="4"/>
  <c r="I350" i="4"/>
  <c r="I361" i="4"/>
  <c r="I364" i="4"/>
  <c r="I376" i="4"/>
  <c r="I384" i="4"/>
  <c r="I386" i="4"/>
  <c r="I393" i="4"/>
  <c r="I396" i="4"/>
  <c r="I404" i="4"/>
  <c r="I406" i="4"/>
  <c r="I410" i="4"/>
  <c r="I411" i="4"/>
  <c r="I413" i="4"/>
  <c r="I416" i="4"/>
  <c r="I417" i="4"/>
  <c r="I419" i="4"/>
  <c r="I421" i="4"/>
  <c r="I422" i="4"/>
  <c r="I425" i="4"/>
  <c r="I428" i="4"/>
  <c r="I431" i="4"/>
  <c r="I434" i="4"/>
  <c r="I439" i="4"/>
  <c r="I445" i="4"/>
  <c r="I452" i="4"/>
  <c r="I458" i="4"/>
  <c r="I463" i="4"/>
  <c r="I467" i="4"/>
  <c r="I470" i="4"/>
  <c r="I477" i="4"/>
  <c r="I479" i="4"/>
  <c r="I489" i="4"/>
  <c r="I491" i="4"/>
  <c r="I494" i="4"/>
  <c r="I497" i="4"/>
  <c r="I503" i="4"/>
  <c r="I504" i="4"/>
  <c r="I513" i="4"/>
  <c r="I515" i="4"/>
  <c r="I517" i="4"/>
  <c r="I522" i="4"/>
  <c r="I524" i="4"/>
  <c r="I527" i="4"/>
  <c r="I546" i="4"/>
  <c r="I556" i="4"/>
  <c r="I563" i="4"/>
  <c r="I564" i="4"/>
  <c r="I274" i="4" l="1"/>
  <c r="I356" i="4"/>
  <c r="C10" i="21"/>
  <c r="E10" i="21" s="1"/>
  <c r="E75" i="21"/>
  <c r="I374" i="4"/>
  <c r="I306" i="4"/>
  <c r="I152" i="4"/>
  <c r="I231" i="4"/>
  <c r="I234" i="4"/>
  <c r="I240" i="4"/>
  <c r="I380" i="4"/>
  <c r="I310" i="4"/>
  <c r="H25" i="4" l="1"/>
  <c r="G25" i="4"/>
  <c r="I25" i="4" l="1"/>
  <c r="H105" i="4" l="1"/>
  <c r="G105" i="4"/>
  <c r="I105" i="4" l="1"/>
  <c r="H51" i="4"/>
  <c r="G51" i="4"/>
  <c r="I51" i="4" l="1"/>
  <c r="H80" i="4" l="1"/>
  <c r="G80" i="4"/>
  <c r="H116" i="4"/>
  <c r="G116" i="4"/>
  <c r="H122" i="4"/>
  <c r="G122" i="4"/>
  <c r="I122" i="4" l="1"/>
  <c r="I80" i="4"/>
  <c r="I116" i="4"/>
  <c r="H545" i="4" l="1"/>
  <c r="G545" i="4"/>
  <c r="G405" i="4"/>
  <c r="H395" i="4"/>
  <c r="G395" i="4"/>
  <c r="G394" i="4" s="1"/>
  <c r="H375" i="4"/>
  <c r="G375" i="4"/>
  <c r="H217" i="4"/>
  <c r="G217" i="4"/>
  <c r="H153" i="4"/>
  <c r="G153" i="4"/>
  <c r="G133" i="4"/>
  <c r="H37" i="4"/>
  <c r="G37" i="4"/>
  <c r="G36" i="4" s="1"/>
  <c r="I153" i="4" l="1"/>
  <c r="I375" i="4"/>
  <c r="I217" i="4"/>
  <c r="I545" i="4"/>
  <c r="H394" i="4"/>
  <c r="I394" i="4" s="1"/>
  <c r="I395" i="4"/>
  <c r="H36" i="4"/>
  <c r="I36" i="4" s="1"/>
  <c r="I37" i="4"/>
  <c r="I427" i="4"/>
  <c r="H405" i="4"/>
  <c r="I405" i="4" s="1"/>
  <c r="H133" i="4"/>
  <c r="I133" i="4" s="1"/>
  <c r="H360" i="4" l="1"/>
  <c r="H359" i="4" s="1"/>
  <c r="G360" i="4"/>
  <c r="G359" i="4" s="1"/>
  <c r="I359" i="4" l="1"/>
  <c r="I360" i="4"/>
  <c r="H418" i="4" l="1"/>
  <c r="G418" i="4"/>
  <c r="H401" i="4"/>
  <c r="G401" i="4"/>
  <c r="H403" i="4"/>
  <c r="G403" i="4"/>
  <c r="H181" i="4"/>
  <c r="G181" i="4"/>
  <c r="G180" i="4" s="1"/>
  <c r="G179" i="4" s="1"/>
  <c r="I403" i="4" l="1"/>
  <c r="I418" i="4"/>
  <c r="I401" i="4"/>
  <c r="H180" i="4"/>
  <c r="I181" i="4"/>
  <c r="G178" i="4"/>
  <c r="G177" i="4" s="1"/>
  <c r="G668" i="4"/>
  <c r="G400" i="4"/>
  <c r="H400" i="4"/>
  <c r="I400" i="4" l="1"/>
  <c r="H179" i="4"/>
  <c r="I180" i="4"/>
  <c r="G399" i="4"/>
  <c r="G650" i="4" s="1"/>
  <c r="H399" i="4"/>
  <c r="H650" i="4" l="1"/>
  <c r="I650" i="4" s="1"/>
  <c r="I399" i="4"/>
  <c r="I179" i="4"/>
  <c r="H178" i="4"/>
  <c r="H668" i="4"/>
  <c r="I668" i="4" s="1"/>
  <c r="G420" i="4"/>
  <c r="G415" i="4"/>
  <c r="G355" i="4"/>
  <c r="G414" i="4" l="1"/>
  <c r="H177" i="4"/>
  <c r="I177" i="4" s="1"/>
  <c r="I178" i="4"/>
  <c r="H355" i="4"/>
  <c r="I355" i="4" s="1"/>
  <c r="H415" i="4"/>
  <c r="I415" i="4" s="1"/>
  <c r="H420" i="4"/>
  <c r="I420" i="4" l="1"/>
  <c r="H414" i="4"/>
  <c r="H514" i="4"/>
  <c r="G514" i="4"/>
  <c r="H486" i="4"/>
  <c r="H488" i="4"/>
  <c r="G488" i="4"/>
  <c r="H433" i="4"/>
  <c r="G433" i="4"/>
  <c r="G432" i="4" s="1"/>
  <c r="H392" i="4"/>
  <c r="G392" i="4"/>
  <c r="G391" i="4" s="1"/>
  <c r="G390" i="4" s="1"/>
  <c r="G389" i="4" s="1"/>
  <c r="G388" i="4" s="1"/>
  <c r="H279" i="4"/>
  <c r="G279" i="4"/>
  <c r="I514" i="4" l="1"/>
  <c r="I488" i="4"/>
  <c r="I279" i="4"/>
  <c r="H432" i="4"/>
  <c r="I432" i="4" s="1"/>
  <c r="I433" i="4"/>
  <c r="H391" i="4"/>
  <c r="I392" i="4"/>
  <c r="F672" i="4"/>
  <c r="H390" i="4" l="1"/>
  <c r="I391" i="4"/>
  <c r="G349" i="4"/>
  <c r="H349" i="4"/>
  <c r="H262" i="4"/>
  <c r="G262" i="4"/>
  <c r="G261" i="4" s="1"/>
  <c r="H167" i="4"/>
  <c r="G167" i="4"/>
  <c r="G166" i="4" s="1"/>
  <c r="H90" i="4"/>
  <c r="G90" i="4"/>
  <c r="H88" i="4"/>
  <c r="G88" i="4"/>
  <c r="H19" i="4"/>
  <c r="G19" i="4"/>
  <c r="I349" i="4" l="1"/>
  <c r="I19" i="4"/>
  <c r="I88" i="4"/>
  <c r="I90" i="4"/>
  <c r="H389" i="4"/>
  <c r="I390" i="4"/>
  <c r="H261" i="4"/>
  <c r="I261" i="4" s="1"/>
  <c r="I262" i="4"/>
  <c r="H166" i="4"/>
  <c r="H165" i="4" s="1"/>
  <c r="I167" i="4"/>
  <c r="G165" i="4"/>
  <c r="G164" i="4"/>
  <c r="G163" i="4" s="1"/>
  <c r="I389" i="4" l="1"/>
  <c r="H388" i="4"/>
  <c r="I165" i="4"/>
  <c r="H164" i="4"/>
  <c r="I166" i="4"/>
  <c r="H331" i="4"/>
  <c r="G331" i="4"/>
  <c r="I331" i="4" l="1"/>
  <c r="H163" i="4"/>
  <c r="I163" i="4" s="1"/>
  <c r="I164" i="4"/>
  <c r="H45" i="4" l="1"/>
  <c r="G45" i="4"/>
  <c r="I45" i="4" l="1"/>
  <c r="H526" i="4"/>
  <c r="G526" i="4"/>
  <c r="G525" i="4" s="1"/>
  <c r="H496" i="4"/>
  <c r="G496" i="4"/>
  <c r="G495" i="4" s="1"/>
  <c r="H430" i="4"/>
  <c r="G430" i="4"/>
  <c r="G429" i="4" s="1"/>
  <c r="H426" i="4"/>
  <c r="G426" i="4"/>
  <c r="H175" i="4"/>
  <c r="G175" i="4"/>
  <c r="I426" i="4" l="1"/>
  <c r="I175" i="4"/>
  <c r="H525" i="4"/>
  <c r="I525" i="4" s="1"/>
  <c r="I526" i="4"/>
  <c r="H495" i="4"/>
  <c r="I495" i="4" s="1"/>
  <c r="I496" i="4"/>
  <c r="H429" i="4"/>
  <c r="I429" i="4" s="1"/>
  <c r="I430" i="4"/>
  <c r="G539" i="4" l="1"/>
  <c r="I539" i="4" s="1"/>
  <c r="G535" i="4"/>
  <c r="I535" i="4" s="1"/>
  <c r="G381" i="4"/>
  <c r="I381" i="4" s="1"/>
  <c r="G372" i="4"/>
  <c r="I372" i="4" s="1"/>
  <c r="G369" i="4"/>
  <c r="I369" i="4" s="1"/>
  <c r="G299" i="4"/>
  <c r="I299" i="4" s="1"/>
  <c r="G250" i="4"/>
  <c r="I250" i="4" s="1"/>
  <c r="G119" i="4"/>
  <c r="I119" i="4" s="1"/>
  <c r="G18" i="4"/>
  <c r="I18" i="4" s="1"/>
  <c r="G443" i="4" l="1"/>
  <c r="G462" i="4"/>
  <c r="G461" i="4" s="1"/>
  <c r="G460" i="4" s="1"/>
  <c r="H462" i="4"/>
  <c r="G469" i="4"/>
  <c r="G468" i="4" s="1"/>
  <c r="H469" i="4"/>
  <c r="H443" i="4" l="1"/>
  <c r="I443" i="4" s="1"/>
  <c r="I444" i="4"/>
  <c r="H468" i="4"/>
  <c r="I468" i="4" s="1"/>
  <c r="I469" i="4"/>
  <c r="H461" i="4"/>
  <c r="I462" i="4"/>
  <c r="G442" i="4"/>
  <c r="H442" i="4" l="1"/>
  <c r="I442" i="4" s="1"/>
  <c r="H460" i="4"/>
  <c r="I460" i="4" s="1"/>
  <c r="I461" i="4"/>
  <c r="G441" i="4"/>
  <c r="G440" i="4" s="1"/>
  <c r="H243" i="4"/>
  <c r="I243" i="4" s="1"/>
  <c r="H441" i="4" l="1"/>
  <c r="H440" i="4" s="1"/>
  <c r="I440" i="4" s="1"/>
  <c r="H534" i="4"/>
  <c r="G534" i="4"/>
  <c r="H532" i="4"/>
  <c r="G532" i="4"/>
  <c r="G531" i="4" s="1"/>
  <c r="H244" i="4"/>
  <c r="G244" i="4"/>
  <c r="G241" i="4"/>
  <c r="G239" i="4"/>
  <c r="G149" i="4"/>
  <c r="H118" i="4"/>
  <c r="G118" i="4"/>
  <c r="H114" i="4"/>
  <c r="G114" i="4"/>
  <c r="I441" i="4" l="1"/>
  <c r="I118" i="4"/>
  <c r="I114" i="4"/>
  <c r="I534" i="4"/>
  <c r="I244" i="4"/>
  <c r="H531" i="4"/>
  <c r="I531" i="4" s="1"/>
  <c r="I532" i="4"/>
  <c r="G148" i="4"/>
  <c r="G147" i="4" s="1"/>
  <c r="G530" i="4"/>
  <c r="G238" i="4"/>
  <c r="G237" i="4" s="1"/>
  <c r="H239" i="4"/>
  <c r="I239" i="4" s="1"/>
  <c r="H241" i="4"/>
  <c r="I241" i="4" s="1"/>
  <c r="H113" i="4"/>
  <c r="I151" i="4"/>
  <c r="G113" i="4"/>
  <c r="G112" i="4" s="1"/>
  <c r="H149" i="4"/>
  <c r="I149" i="4" s="1"/>
  <c r="H530" i="4" l="1"/>
  <c r="H637" i="4" s="1"/>
  <c r="H112" i="4"/>
  <c r="I113" i="4"/>
  <c r="G645" i="4"/>
  <c r="G146" i="4"/>
  <c r="G630" i="4"/>
  <c r="G236" i="4"/>
  <c r="G660" i="4"/>
  <c r="G637" i="4"/>
  <c r="H238" i="4"/>
  <c r="H148" i="4"/>
  <c r="I530" i="4" l="1"/>
  <c r="I637" i="4"/>
  <c r="H237" i="4"/>
  <c r="H630" i="4" s="1"/>
  <c r="I630" i="4" s="1"/>
  <c r="I238" i="4"/>
  <c r="H147" i="4"/>
  <c r="I147" i="4" s="1"/>
  <c r="I148" i="4"/>
  <c r="H660" i="4"/>
  <c r="I660" i="4" s="1"/>
  <c r="I112" i="4"/>
  <c r="H146" i="4" l="1"/>
  <c r="I146" i="4" s="1"/>
  <c r="H645" i="4"/>
  <c r="I645" i="4" s="1"/>
  <c r="H236" i="4"/>
  <c r="I236" i="4" s="1"/>
  <c r="I237" i="4"/>
  <c r="H27" i="4" l="1"/>
  <c r="G27" i="4"/>
  <c r="H65" i="4"/>
  <c r="G65" i="4"/>
  <c r="I27" i="4" l="1"/>
  <c r="I65" i="4"/>
  <c r="G493" i="4" l="1"/>
  <c r="G492" i="4" s="1"/>
  <c r="H493" i="4" l="1"/>
  <c r="H492" i="4" l="1"/>
  <c r="I492" i="4" s="1"/>
  <c r="I493" i="4"/>
  <c r="G457" i="4" l="1"/>
  <c r="G456" i="4" s="1"/>
  <c r="H457" i="4"/>
  <c r="H456" i="4" l="1"/>
  <c r="I456" i="4" s="1"/>
  <c r="I457" i="4"/>
  <c r="G124" i="4" l="1"/>
  <c r="H521" i="4"/>
  <c r="G521" i="4"/>
  <c r="I521" i="4" l="1"/>
  <c r="H195" i="4"/>
  <c r="G195" i="4"/>
  <c r="G194" i="4" s="1"/>
  <c r="G193" i="4" s="1"/>
  <c r="H194" i="4" l="1"/>
  <c r="I195" i="4"/>
  <c r="G192" i="4"/>
  <c r="H173" i="4"/>
  <c r="G173" i="4"/>
  <c r="G172" i="4" s="1"/>
  <c r="G171" i="4" s="1"/>
  <c r="G170" i="4" s="1"/>
  <c r="G169" i="4" s="1"/>
  <c r="H127" i="4"/>
  <c r="G127" i="4"/>
  <c r="H86" i="4"/>
  <c r="G86" i="4"/>
  <c r="G84" i="4" s="1"/>
  <c r="H82" i="4"/>
  <c r="G82" i="4"/>
  <c r="H59" i="4"/>
  <c r="G59" i="4"/>
  <c r="G63" i="4"/>
  <c r="I59" i="4" l="1"/>
  <c r="I86" i="4"/>
  <c r="I173" i="4"/>
  <c r="I82" i="4"/>
  <c r="I127" i="4"/>
  <c r="H193" i="4"/>
  <c r="I194" i="4"/>
  <c r="H172" i="4"/>
  <c r="H63" i="4"/>
  <c r="I63" i="4" s="1"/>
  <c r="H84" i="4"/>
  <c r="I84" i="4" s="1"/>
  <c r="I193" i="4" l="1"/>
  <c r="H192" i="4"/>
  <c r="I192" i="4" s="1"/>
  <c r="H171" i="4"/>
  <c r="I172" i="4"/>
  <c r="H170" i="4" l="1"/>
  <c r="I171" i="4"/>
  <c r="H169" i="4" l="1"/>
  <c r="I169" i="4" s="1"/>
  <c r="I170" i="4"/>
  <c r="H548" i="4"/>
  <c r="G548" i="4"/>
  <c r="G547" i="4" s="1"/>
  <c r="H318" i="4"/>
  <c r="G318" i="4"/>
  <c r="E317" i="4"/>
  <c r="H316" i="4"/>
  <c r="G316" i="4"/>
  <c r="E316" i="4"/>
  <c r="E315" i="4"/>
  <c r="G121" i="4"/>
  <c r="H53" i="4"/>
  <c r="G53" i="4"/>
  <c r="H29" i="4"/>
  <c r="G29" i="4"/>
  <c r="I53" i="4" l="1"/>
  <c r="I318" i="4"/>
  <c r="I316" i="4"/>
  <c r="I29" i="4"/>
  <c r="H547" i="4"/>
  <c r="I547" i="4" s="1"/>
  <c r="I548" i="4"/>
  <c r="G315" i="4"/>
  <c r="H315" i="4"/>
  <c r="I315" i="4" l="1"/>
  <c r="H543" i="4"/>
  <c r="H124" i="4" l="1"/>
  <c r="I124" i="4" s="1"/>
  <c r="H34" i="4" l="1"/>
  <c r="G34" i="4"/>
  <c r="G33" i="4" s="1"/>
  <c r="H409" i="4"/>
  <c r="G409" i="4"/>
  <c r="H213" i="4"/>
  <c r="G213" i="4"/>
  <c r="H188" i="4"/>
  <c r="G188" i="4"/>
  <c r="G187" i="4" s="1"/>
  <c r="G186" i="4" s="1"/>
  <c r="G185" i="4" s="1"/>
  <c r="G184" i="4" s="1"/>
  <c r="G183" i="4" s="1"/>
  <c r="G71" i="4"/>
  <c r="G70" i="4" s="1"/>
  <c r="H71" i="4"/>
  <c r="I213" i="4" l="1"/>
  <c r="I409" i="4"/>
  <c r="H70" i="4"/>
  <c r="I70" i="4" s="1"/>
  <c r="I71" i="4"/>
  <c r="H187" i="4"/>
  <c r="I188" i="4"/>
  <c r="H33" i="4"/>
  <c r="I33" i="4" s="1"/>
  <c r="I34" i="4"/>
  <c r="H186" i="4" l="1"/>
  <c r="I187" i="4"/>
  <c r="H185" i="4" l="1"/>
  <c r="I186" i="4"/>
  <c r="G589" i="4"/>
  <c r="D29" i="12" s="1"/>
  <c r="H385" i="4"/>
  <c r="G385" i="4"/>
  <c r="G382" i="4" s="1"/>
  <c r="G220" i="4"/>
  <c r="G219" i="4" s="1"/>
  <c r="H383" i="4"/>
  <c r="G383" i="4"/>
  <c r="H220" i="4"/>
  <c r="H74" i="4"/>
  <c r="G74" i="4"/>
  <c r="G73" i="4" s="1"/>
  <c r="G8" i="4"/>
  <c r="G313" i="4"/>
  <c r="I383" i="4" l="1"/>
  <c r="H382" i="4"/>
  <c r="I382" i="4" s="1"/>
  <c r="I385" i="4"/>
  <c r="H219" i="4"/>
  <c r="I219" i="4" s="1"/>
  <c r="I220" i="4"/>
  <c r="H184" i="4"/>
  <c r="H183" i="4" s="1"/>
  <c r="I185" i="4"/>
  <c r="H73" i="4"/>
  <c r="I73" i="4" s="1"/>
  <c r="I74" i="4"/>
  <c r="I388" i="4" l="1"/>
  <c r="H589" i="4"/>
  <c r="I183" i="4"/>
  <c r="I184" i="4"/>
  <c r="I589" i="4" l="1"/>
  <c r="E29" i="12"/>
  <c r="F29" i="12" s="1"/>
  <c r="H313" i="4"/>
  <c r="I313" i="4" s="1"/>
  <c r="H312" i="4" l="1"/>
  <c r="G312" i="4"/>
  <c r="G311" i="4" s="1"/>
  <c r="H311" i="4" l="1"/>
  <c r="I311" i="4" s="1"/>
  <c r="I312" i="4"/>
  <c r="H200" i="4"/>
  <c r="G200" i="4"/>
  <c r="G199" i="4" s="1"/>
  <c r="G198" i="4" s="1"/>
  <c r="G197" i="4" s="1"/>
  <c r="G191" i="4" s="1"/>
  <c r="H199" i="4" l="1"/>
  <c r="I200" i="4"/>
  <c r="H198" i="4" l="1"/>
  <c r="I199" i="4"/>
  <c r="G190" i="4"/>
  <c r="H197" i="4" l="1"/>
  <c r="I198" i="4"/>
  <c r="H478" i="4"/>
  <c r="G478" i="4"/>
  <c r="I478" i="4" l="1"/>
  <c r="H191" i="4"/>
  <c r="I197" i="4"/>
  <c r="I191" i="4" l="1"/>
  <c r="H190" i="4"/>
  <c r="I190" i="4" s="1"/>
  <c r="H99" i="4"/>
  <c r="G99" i="4"/>
  <c r="H97" i="4"/>
  <c r="G97" i="4"/>
  <c r="H95" i="4"/>
  <c r="G95" i="4"/>
  <c r="I97" i="4" l="1"/>
  <c r="I95" i="4"/>
  <c r="I99" i="4"/>
  <c r="H94" i="4"/>
  <c r="G94" i="4"/>
  <c r="I94" i="4" l="1"/>
  <c r="G277" i="4" l="1"/>
  <c r="H277" i="4"/>
  <c r="H276" i="4" l="1"/>
  <c r="I277" i="4"/>
  <c r="G276" i="4"/>
  <c r="H61" i="4"/>
  <c r="G61" i="4"/>
  <c r="H373" i="4"/>
  <c r="G373" i="4"/>
  <c r="H370" i="4"/>
  <c r="G370" i="4"/>
  <c r="H368" i="4"/>
  <c r="G368" i="4"/>
  <c r="I368" i="4" l="1"/>
  <c r="I373" i="4"/>
  <c r="I370" i="4"/>
  <c r="I61" i="4"/>
  <c r="H275" i="4"/>
  <c r="I276" i="4"/>
  <c r="G275" i="4"/>
  <c r="H367" i="4"/>
  <c r="G367" i="4"/>
  <c r="I367" i="4" l="1"/>
  <c r="I275" i="4"/>
  <c r="G366" i="4"/>
  <c r="H366" i="4"/>
  <c r="I366" i="4" l="1"/>
  <c r="H666" i="4"/>
  <c r="G666" i="4"/>
  <c r="I666" i="4" l="1"/>
  <c r="H438" i="4" l="1"/>
  <c r="G438" i="4"/>
  <c r="G437" i="4" s="1"/>
  <c r="G436" i="4" s="1"/>
  <c r="G591" i="4" s="1"/>
  <c r="D31" i="12" s="1"/>
  <c r="H424" i="4"/>
  <c r="G424" i="4"/>
  <c r="G423" i="4" s="1"/>
  <c r="G572" i="4"/>
  <c r="D12" i="12" s="1"/>
  <c r="H341" i="4"/>
  <c r="G341" i="4"/>
  <c r="G340" i="4" s="1"/>
  <c r="H437" i="4" l="1"/>
  <c r="I438" i="4"/>
  <c r="H423" i="4"/>
  <c r="I423" i="4" s="1"/>
  <c r="I424" i="4"/>
  <c r="H340" i="4"/>
  <c r="I340" i="4" s="1"/>
  <c r="I341" i="4"/>
  <c r="G435" i="4"/>
  <c r="H572" i="4"/>
  <c r="H476" i="4"/>
  <c r="G476" i="4"/>
  <c r="G475" i="4" s="1"/>
  <c r="G474" i="4" s="1"/>
  <c r="I572" i="4" l="1"/>
  <c r="E12" i="12"/>
  <c r="F12" i="12" s="1"/>
  <c r="H475" i="4"/>
  <c r="I476" i="4"/>
  <c r="H436" i="4"/>
  <c r="I437" i="4"/>
  <c r="G634" i="4"/>
  <c r="G472" i="4"/>
  <c r="G473" i="4"/>
  <c r="H131" i="4"/>
  <c r="G131" i="4"/>
  <c r="I131" i="4" l="1"/>
  <c r="H474" i="4"/>
  <c r="I475" i="4"/>
  <c r="H591" i="4"/>
  <c r="I436" i="4"/>
  <c r="H435" i="4"/>
  <c r="I435" i="4" s="1"/>
  <c r="H490" i="4"/>
  <c r="G490" i="4"/>
  <c r="G510" i="4"/>
  <c r="H516" i="4"/>
  <c r="G516" i="4"/>
  <c r="G543" i="4"/>
  <c r="I543" i="4" s="1"/>
  <c r="H540" i="4"/>
  <c r="G540" i="4"/>
  <c r="H538" i="4"/>
  <c r="G538" i="4"/>
  <c r="I591" i="4" l="1"/>
  <c r="E31" i="12"/>
  <c r="F31" i="12" s="1"/>
  <c r="I540" i="4"/>
  <c r="I538" i="4"/>
  <c r="I516" i="4"/>
  <c r="H485" i="4"/>
  <c r="I490" i="4"/>
  <c r="I474" i="4"/>
  <c r="H634" i="4"/>
  <c r="I634" i="4" s="1"/>
  <c r="H472" i="4"/>
  <c r="I472" i="4" s="1"/>
  <c r="H473" i="4"/>
  <c r="I473" i="4" s="1"/>
  <c r="H537" i="4"/>
  <c r="G537" i="4"/>
  <c r="H536" i="4" l="1"/>
  <c r="H529" i="4" s="1"/>
  <c r="I537" i="4"/>
  <c r="G536" i="4"/>
  <c r="G529" i="4" s="1"/>
  <c r="H215" i="4"/>
  <c r="G215" i="4"/>
  <c r="G212" i="4" s="1"/>
  <c r="H309" i="4"/>
  <c r="G309" i="4"/>
  <c r="H92" i="4"/>
  <c r="G92" i="4"/>
  <c r="G79" i="4" s="1"/>
  <c r="H31" i="4"/>
  <c r="G31" i="4"/>
  <c r="I536" i="4" l="1"/>
  <c r="I529" i="4"/>
  <c r="I31" i="4"/>
  <c r="I309" i="4"/>
  <c r="H638" i="4"/>
  <c r="H212" i="4"/>
  <c r="I212" i="4" s="1"/>
  <c r="I215" i="4"/>
  <c r="H79" i="4"/>
  <c r="I79" i="4" s="1"/>
  <c r="I92" i="4"/>
  <c r="G638" i="4"/>
  <c r="G211" i="4"/>
  <c r="H285" i="4"/>
  <c r="G285" i="4"/>
  <c r="G284" i="4" s="1"/>
  <c r="G283" i="4" s="1"/>
  <c r="H354" i="4"/>
  <c r="G354" i="4"/>
  <c r="G353" i="4" s="1"/>
  <c r="H259" i="4"/>
  <c r="G259" i="4"/>
  <c r="G258" i="4" s="1"/>
  <c r="G257" i="4" s="1"/>
  <c r="H466" i="4"/>
  <c r="G466" i="4"/>
  <c r="G465" i="4" s="1"/>
  <c r="H68" i="4"/>
  <c r="G68" i="4"/>
  <c r="G67" i="4" s="1"/>
  <c r="H211" i="4" l="1"/>
  <c r="I211" i="4" s="1"/>
  <c r="I638" i="4"/>
  <c r="H465" i="4"/>
  <c r="I466" i="4"/>
  <c r="H353" i="4"/>
  <c r="I353" i="4" s="1"/>
  <c r="I354" i="4"/>
  <c r="H284" i="4"/>
  <c r="I285" i="4"/>
  <c r="H258" i="4"/>
  <c r="I259" i="4"/>
  <c r="H67" i="4"/>
  <c r="I67" i="4" s="1"/>
  <c r="I68" i="4"/>
  <c r="G464" i="4"/>
  <c r="G459" i="4" s="1"/>
  <c r="G210" i="4"/>
  <c r="G209" i="4" s="1"/>
  <c r="G624" i="4" s="1"/>
  <c r="D64" i="12" s="1"/>
  <c r="G339" i="4"/>
  <c r="G338" i="4" s="1"/>
  <c r="H339" i="4"/>
  <c r="H210" i="4" l="1"/>
  <c r="H209" i="4" s="1"/>
  <c r="H464" i="4"/>
  <c r="I465" i="4"/>
  <c r="H338" i="4"/>
  <c r="I338" i="4" s="1"/>
  <c r="I339" i="4"/>
  <c r="H283" i="4"/>
  <c r="I284" i="4"/>
  <c r="H257" i="4"/>
  <c r="I257" i="4" s="1"/>
  <c r="I258" i="4"/>
  <c r="G655" i="4"/>
  <c r="G337" i="4"/>
  <c r="G585" i="4" s="1"/>
  <c r="D25" i="12" s="1"/>
  <c r="H337" i="4"/>
  <c r="H655" i="4"/>
  <c r="I283" i="4" l="1"/>
  <c r="I210" i="4"/>
  <c r="I655" i="4"/>
  <c r="H459" i="4"/>
  <c r="I459" i="4" s="1"/>
  <c r="I464" i="4"/>
  <c r="H585" i="4"/>
  <c r="E25" i="12" s="1"/>
  <c r="F25" i="12" s="1"/>
  <c r="I337" i="4"/>
  <c r="H624" i="4"/>
  <c r="E64" i="12" s="1"/>
  <c r="F64" i="12" s="1"/>
  <c r="I209" i="4"/>
  <c r="I624" i="4" l="1"/>
  <c r="I585" i="4"/>
  <c r="H512" i="4"/>
  <c r="G512" i="4"/>
  <c r="G509" i="4" s="1"/>
  <c r="H523" i="4"/>
  <c r="G523" i="4"/>
  <c r="H658" i="4"/>
  <c r="I523" i="4" l="1"/>
  <c r="I512" i="4"/>
  <c r="D670" i="4" l="1"/>
  <c r="C670" i="4" s="1"/>
  <c r="D671" i="4"/>
  <c r="C671" i="4" s="1"/>
  <c r="D666" i="4"/>
  <c r="C666" i="4" s="1"/>
  <c r="H510" i="4"/>
  <c r="H509" i="4" l="1"/>
  <c r="I509" i="4" s="1"/>
  <c r="I510" i="4"/>
  <c r="G502" i="4" l="1"/>
  <c r="H502" i="4"/>
  <c r="I502" i="4" l="1"/>
  <c r="H562" i="4" l="1"/>
  <c r="G562" i="4"/>
  <c r="G561" i="4" s="1"/>
  <c r="H519" i="4"/>
  <c r="G519" i="4"/>
  <c r="G486" i="4"/>
  <c r="G485" i="4" l="1"/>
  <c r="I485" i="4" s="1"/>
  <c r="I486" i="4"/>
  <c r="H518" i="4"/>
  <c r="H508" i="4" s="1"/>
  <c r="I519" i="4"/>
  <c r="H561" i="4"/>
  <c r="I561" i="4" s="1"/>
  <c r="I562" i="4"/>
  <c r="G518" i="4"/>
  <c r="G508" i="4" s="1"/>
  <c r="H484" i="4"/>
  <c r="G560" i="4"/>
  <c r="H560" i="4" l="1"/>
  <c r="I560" i="4" s="1"/>
  <c r="I518" i="4"/>
  <c r="I508" i="4"/>
  <c r="G484" i="4"/>
  <c r="G482" i="4" s="1"/>
  <c r="H507" i="4"/>
  <c r="H506" i="4"/>
  <c r="H602" i="4" s="1"/>
  <c r="E42" i="12" s="1"/>
  <c r="H482" i="4"/>
  <c r="G506" i="4"/>
  <c r="G602" i="4" s="1"/>
  <c r="D42" i="12" s="1"/>
  <c r="G507" i="4"/>
  <c r="G559" i="4"/>
  <c r="G558" i="4"/>
  <c r="G616" i="4" s="1"/>
  <c r="D56" i="12" s="1"/>
  <c r="H483" i="4"/>
  <c r="H412" i="4"/>
  <c r="G412" i="4"/>
  <c r="G408" i="4" s="1"/>
  <c r="H379" i="4"/>
  <c r="G379" i="4"/>
  <c r="G378" i="4" s="1"/>
  <c r="G377" i="4" s="1"/>
  <c r="G667" i="4" s="1"/>
  <c r="H347" i="4"/>
  <c r="G347" i="4"/>
  <c r="G346" i="4" s="1"/>
  <c r="F42" i="12" l="1"/>
  <c r="H559" i="4"/>
  <c r="I559" i="4" s="1"/>
  <c r="I507" i="4"/>
  <c r="I484" i="4"/>
  <c r="G483" i="4"/>
  <c r="I483" i="4" s="1"/>
  <c r="H558" i="4"/>
  <c r="H616" i="4" s="1"/>
  <c r="E56" i="12" s="1"/>
  <c r="F56" i="12" s="1"/>
  <c r="I482" i="4"/>
  <c r="I414" i="4"/>
  <c r="I602" i="4"/>
  <c r="I506" i="4"/>
  <c r="H408" i="4"/>
  <c r="I408" i="4" s="1"/>
  <c r="I412" i="4"/>
  <c r="H378" i="4"/>
  <c r="I379" i="4"/>
  <c r="H346" i="4"/>
  <c r="I346" i="4" s="1"/>
  <c r="I347" i="4"/>
  <c r="G407" i="4"/>
  <c r="G365" i="4"/>
  <c r="G345" i="4"/>
  <c r="G615" i="4"/>
  <c r="D55" i="12" s="1"/>
  <c r="G557" i="4"/>
  <c r="D653" i="4"/>
  <c r="C653" i="4" s="1"/>
  <c r="D669" i="4"/>
  <c r="D667" i="4"/>
  <c r="C667" i="4" s="1"/>
  <c r="D668" i="4"/>
  <c r="C668" i="4" s="1"/>
  <c r="H298" i="4"/>
  <c r="G298" i="4"/>
  <c r="H296" i="4"/>
  <c r="G296" i="4"/>
  <c r="H290" i="4"/>
  <c r="G290" i="4"/>
  <c r="G289" i="4" s="1"/>
  <c r="G288" i="4" s="1"/>
  <c r="H268" i="4"/>
  <c r="G268" i="4"/>
  <c r="G267" i="4" s="1"/>
  <c r="G266" i="4" s="1"/>
  <c r="H254" i="4"/>
  <c r="G254" i="4"/>
  <c r="G253" i="4" s="1"/>
  <c r="G252" i="4" s="1"/>
  <c r="G251" i="4" s="1"/>
  <c r="H207" i="4"/>
  <c r="G207" i="4"/>
  <c r="G206" i="4" s="1"/>
  <c r="G398" i="4" l="1"/>
  <c r="G652" i="4"/>
  <c r="H345" i="4"/>
  <c r="I345" i="4" s="1"/>
  <c r="I558" i="4"/>
  <c r="H407" i="4"/>
  <c r="I298" i="4"/>
  <c r="H615" i="4"/>
  <c r="I616" i="4"/>
  <c r="I296" i="4"/>
  <c r="H377" i="4"/>
  <c r="I378" i="4"/>
  <c r="H289" i="4"/>
  <c r="I290" i="4"/>
  <c r="H267" i="4"/>
  <c r="I268" i="4"/>
  <c r="H253" i="4"/>
  <c r="I254" i="4"/>
  <c r="H206" i="4"/>
  <c r="I206" i="4" s="1"/>
  <c r="I207" i="4"/>
  <c r="G669" i="4"/>
  <c r="G397" i="4"/>
  <c r="G590" i="4" s="1"/>
  <c r="D30" i="12" s="1"/>
  <c r="G344" i="4"/>
  <c r="G653" i="4"/>
  <c r="G343" i="4"/>
  <c r="G586" i="4" s="1"/>
  <c r="D26" i="12" s="1"/>
  <c r="G287" i="4"/>
  <c r="G205" i="4"/>
  <c r="G203" i="4" s="1"/>
  <c r="G202" i="4" s="1"/>
  <c r="G162" i="4" s="1"/>
  <c r="G295" i="4"/>
  <c r="G294" i="4" s="1"/>
  <c r="G293" i="4" s="1"/>
  <c r="H295" i="4"/>
  <c r="G264" i="4"/>
  <c r="G265" i="4"/>
  <c r="C669" i="4"/>
  <c r="D654" i="4"/>
  <c r="C654" i="4" s="1"/>
  <c r="H160" i="4"/>
  <c r="G160" i="4"/>
  <c r="G159" i="4" s="1"/>
  <c r="G158" i="4" s="1"/>
  <c r="G140" i="4"/>
  <c r="G139" i="4" s="1"/>
  <c r="G138" i="4" s="1"/>
  <c r="H140" i="4"/>
  <c r="H129" i="4"/>
  <c r="G129" i="4"/>
  <c r="G120" i="4" s="1"/>
  <c r="H121" i="4"/>
  <c r="D662" i="4"/>
  <c r="C662" i="4" s="1"/>
  <c r="H107" i="4"/>
  <c r="G107" i="4"/>
  <c r="G78" i="4"/>
  <c r="H57" i="4"/>
  <c r="G57" i="4"/>
  <c r="H55" i="4"/>
  <c r="G55" i="4"/>
  <c r="H49" i="4"/>
  <c r="G49" i="4"/>
  <c r="H47" i="4"/>
  <c r="G47" i="4"/>
  <c r="H43" i="4"/>
  <c r="G43" i="4"/>
  <c r="I615" i="4" l="1"/>
  <c r="E55" i="12"/>
  <c r="F55" i="12" s="1"/>
  <c r="I407" i="4"/>
  <c r="H652" i="4"/>
  <c r="G281" i="4"/>
  <c r="H343" i="4"/>
  <c r="H586" i="4" s="1"/>
  <c r="H344" i="4"/>
  <c r="H653" i="4"/>
  <c r="I653" i="4" s="1"/>
  <c r="H398" i="4"/>
  <c r="I398" i="4" s="1"/>
  <c r="I55" i="4"/>
  <c r="I652" i="4"/>
  <c r="H205" i="4"/>
  <c r="I205" i="4" s="1"/>
  <c r="I47" i="4"/>
  <c r="I57" i="4"/>
  <c r="I129" i="4"/>
  <c r="I49" i="4"/>
  <c r="I107" i="4"/>
  <c r="G646" i="4"/>
  <c r="I344" i="4"/>
  <c r="I43" i="4"/>
  <c r="H120" i="4"/>
  <c r="I120" i="4" s="1"/>
  <c r="I121" i="4"/>
  <c r="H667" i="4"/>
  <c r="I377" i="4"/>
  <c r="H365" i="4"/>
  <c r="I365" i="4" s="1"/>
  <c r="H294" i="4"/>
  <c r="I295" i="4"/>
  <c r="H288" i="4"/>
  <c r="I289" i="4"/>
  <c r="H266" i="4"/>
  <c r="I267" i="4"/>
  <c r="H252" i="4"/>
  <c r="I253" i="4"/>
  <c r="H159" i="4"/>
  <c r="I160" i="4"/>
  <c r="H139" i="4"/>
  <c r="I140" i="4"/>
  <c r="H104" i="4"/>
  <c r="G104" i="4"/>
  <c r="G103" i="4" s="1"/>
  <c r="G102" i="4" s="1"/>
  <c r="G101" i="4" s="1"/>
  <c r="G42" i="4"/>
  <c r="G41" i="4" s="1"/>
  <c r="G40" i="4" s="1"/>
  <c r="G39" i="4" s="1"/>
  <c r="H42" i="4"/>
  <c r="G111" i="4"/>
  <c r="G110" i="4" s="1"/>
  <c r="G387" i="4"/>
  <c r="G588" i="4" s="1"/>
  <c r="D28" i="12" s="1"/>
  <c r="G204" i="4"/>
  <c r="H78" i="4"/>
  <c r="I78" i="4" s="1"/>
  <c r="G156" i="4"/>
  <c r="G621" i="4" s="1"/>
  <c r="D61" i="12" s="1"/>
  <c r="G157" i="4"/>
  <c r="G137" i="4"/>
  <c r="G136" i="4" s="1"/>
  <c r="G662" i="4"/>
  <c r="D664" i="4"/>
  <c r="H23" i="4"/>
  <c r="G23" i="4"/>
  <c r="H21" i="4"/>
  <c r="G21" i="4"/>
  <c r="H17" i="4"/>
  <c r="G17" i="4"/>
  <c r="H15" i="4"/>
  <c r="G15" i="4"/>
  <c r="H281" i="4" l="1"/>
  <c r="I586" i="4"/>
  <c r="E26" i="12"/>
  <c r="F26" i="12" s="1"/>
  <c r="H203" i="4"/>
  <c r="I203" i="4" s="1"/>
  <c r="H397" i="4"/>
  <c r="H204" i="4"/>
  <c r="I204" i="4" s="1"/>
  <c r="I343" i="4"/>
  <c r="I281" i="4"/>
  <c r="I21" i="4"/>
  <c r="I17" i="4"/>
  <c r="H669" i="4"/>
  <c r="I669" i="4" s="1"/>
  <c r="I667" i="4"/>
  <c r="I23" i="4"/>
  <c r="I15" i="4"/>
  <c r="H111" i="4"/>
  <c r="I111" i="4" s="1"/>
  <c r="H293" i="4"/>
  <c r="I293" i="4" s="1"/>
  <c r="I294" i="4"/>
  <c r="I288" i="4"/>
  <c r="H287" i="4"/>
  <c r="I287" i="4" s="1"/>
  <c r="I266" i="4"/>
  <c r="H265" i="4"/>
  <c r="I265" i="4" s="1"/>
  <c r="H264" i="4"/>
  <c r="H251" i="4"/>
  <c r="I251" i="4" s="1"/>
  <c r="I252" i="4"/>
  <c r="H158" i="4"/>
  <c r="I159" i="4"/>
  <c r="H138" i="4"/>
  <c r="I139" i="4"/>
  <c r="H103" i="4"/>
  <c r="H664" i="4" s="1"/>
  <c r="I104" i="4"/>
  <c r="H41" i="4"/>
  <c r="I42" i="4"/>
  <c r="H14" i="4"/>
  <c r="G14" i="4"/>
  <c r="H662" i="4"/>
  <c r="I662" i="4" s="1"/>
  <c r="H145" i="4"/>
  <c r="H144" i="4" s="1"/>
  <c r="G145" i="4"/>
  <c r="G144" i="4" s="1"/>
  <c r="G648" i="4"/>
  <c r="G77" i="4"/>
  <c r="G76" i="4" s="1"/>
  <c r="H77" i="4"/>
  <c r="G664" i="4"/>
  <c r="D661" i="4"/>
  <c r="C661" i="4" s="1"/>
  <c r="C664" i="4"/>
  <c r="H623" i="4" l="1"/>
  <c r="E63" i="12" s="1"/>
  <c r="I397" i="4"/>
  <c r="H590" i="4"/>
  <c r="E30" i="12" s="1"/>
  <c r="F30" i="12" s="1"/>
  <c r="H202" i="4"/>
  <c r="H162" i="4" s="1"/>
  <c r="I162" i="4" s="1"/>
  <c r="H387" i="4"/>
  <c r="I387" i="4" s="1"/>
  <c r="H110" i="4"/>
  <c r="H600" i="4" s="1"/>
  <c r="E40" i="12" s="1"/>
  <c r="I664" i="4"/>
  <c r="I14" i="4"/>
  <c r="H570" i="4"/>
  <c r="E10" i="12" s="1"/>
  <c r="I264" i="4"/>
  <c r="I158" i="4"/>
  <c r="H157" i="4"/>
  <c r="I157" i="4" s="1"/>
  <c r="H156" i="4"/>
  <c r="H646" i="4"/>
  <c r="I145" i="4"/>
  <c r="H137" i="4"/>
  <c r="I138" i="4"/>
  <c r="H102" i="4"/>
  <c r="I103" i="4"/>
  <c r="H76" i="4"/>
  <c r="I76" i="4" s="1"/>
  <c r="I77" i="4"/>
  <c r="H40" i="4"/>
  <c r="I41" i="4"/>
  <c r="H13" i="4"/>
  <c r="G13" i="4"/>
  <c r="G663" i="4" s="1"/>
  <c r="G665" i="4" s="1"/>
  <c r="D659" i="4"/>
  <c r="C659" i="4" s="1"/>
  <c r="I202" i="4" l="1"/>
  <c r="I590" i="4"/>
  <c r="H588" i="4"/>
  <c r="I110" i="4"/>
  <c r="H648" i="4"/>
  <c r="I648" i="4" s="1"/>
  <c r="I646" i="4"/>
  <c r="I156" i="4"/>
  <c r="H621" i="4"/>
  <c r="H155" i="4"/>
  <c r="H143" i="4" s="1"/>
  <c r="H136" i="4"/>
  <c r="I137" i="4"/>
  <c r="H101" i="4"/>
  <c r="I101" i="4" s="1"/>
  <c r="I102" i="4"/>
  <c r="H39" i="4"/>
  <c r="I39" i="4" s="1"/>
  <c r="I40" i="4"/>
  <c r="H663" i="4"/>
  <c r="I13" i="4"/>
  <c r="H12" i="4"/>
  <c r="G12" i="4"/>
  <c r="G11" i="4" s="1"/>
  <c r="G595" i="4" s="1"/>
  <c r="D35" i="12" s="1"/>
  <c r="D665" i="4"/>
  <c r="C665" i="4" s="1"/>
  <c r="D663" i="4"/>
  <c r="C663" i="4" s="1"/>
  <c r="H555" i="4"/>
  <c r="H528" i="4"/>
  <c r="H501" i="4"/>
  <c r="H455" i="4"/>
  <c r="H451" i="4"/>
  <c r="H363" i="4"/>
  <c r="H335" i="4"/>
  <c r="H333" i="4"/>
  <c r="H324" i="4"/>
  <c r="H305" i="4"/>
  <c r="H632" i="4"/>
  <c r="H273" i="4"/>
  <c r="H249" i="4"/>
  <c r="H233" i="4"/>
  <c r="H230" i="4"/>
  <c r="H226" i="4"/>
  <c r="I588" i="4" l="1"/>
  <c r="E28" i="12"/>
  <c r="F28" i="12" s="1"/>
  <c r="I621" i="4"/>
  <c r="E61" i="12"/>
  <c r="F61" i="12" s="1"/>
  <c r="H665" i="4"/>
  <c r="I665" i="4" s="1"/>
  <c r="I663" i="4"/>
  <c r="H554" i="4"/>
  <c r="H454" i="4"/>
  <c r="H450" i="4"/>
  <c r="H362" i="4"/>
  <c r="H358" i="4" s="1"/>
  <c r="H323" i="4"/>
  <c r="H322" i="4" s="1"/>
  <c r="H651" i="4" s="1"/>
  <c r="H272" i="4"/>
  <c r="H248" i="4"/>
  <c r="H232" i="4"/>
  <c r="H620" i="4"/>
  <c r="E60" i="12" s="1"/>
  <c r="I136" i="4"/>
  <c r="H613" i="4"/>
  <c r="E53" i="12" s="1"/>
  <c r="H11" i="4"/>
  <c r="I12" i="4"/>
  <c r="H330" i="4"/>
  <c r="H500" i="4"/>
  <c r="H224" i="4"/>
  <c r="H225" i="4"/>
  <c r="H471" i="4"/>
  <c r="H282" i="4"/>
  <c r="H574" i="4"/>
  <c r="E14" i="12" s="1"/>
  <c r="H596" i="4"/>
  <c r="E36" i="12" s="1"/>
  <c r="H619" i="4"/>
  <c r="E59" i="12" s="1"/>
  <c r="H597" i="4"/>
  <c r="E37" i="12" s="1"/>
  <c r="H304" i="4"/>
  <c r="H135" i="4"/>
  <c r="H622" i="4"/>
  <c r="E62" i="12" s="1"/>
  <c r="H557" i="4"/>
  <c r="I557" i="4" s="1"/>
  <c r="H672" i="4" l="1"/>
  <c r="H228" i="4"/>
  <c r="H568" i="4" s="1"/>
  <c r="E8" i="12" s="1"/>
  <c r="H229" i="4"/>
  <c r="H553" i="4"/>
  <c r="H639" i="4"/>
  <c r="H618" i="4"/>
  <c r="E58" i="12" s="1"/>
  <c r="H453" i="4"/>
  <c r="H449" i="4"/>
  <c r="H329" i="4"/>
  <c r="H328" i="4" s="1"/>
  <c r="H303" i="4"/>
  <c r="H302" i="4" s="1"/>
  <c r="H247" i="4"/>
  <c r="H567" i="4"/>
  <c r="E7" i="12" s="1"/>
  <c r="H595" i="4"/>
  <c r="I11" i="4"/>
  <c r="H351" i="4"/>
  <c r="H642" i="4"/>
  <c r="H498" i="4"/>
  <c r="H499" i="4"/>
  <c r="H633" i="4"/>
  <c r="H352" i="4"/>
  <c r="H270" i="4"/>
  <c r="H271" i="4"/>
  <c r="H603" i="4"/>
  <c r="E43" i="12" s="1"/>
  <c r="H10" i="4"/>
  <c r="I595" i="4" l="1"/>
  <c r="E35" i="12"/>
  <c r="F35" i="12" s="1"/>
  <c r="H321" i="4"/>
  <c r="H320" i="4"/>
  <c r="H581" i="4" s="1"/>
  <c r="E21" i="12" s="1"/>
  <c r="H327" i="4"/>
  <c r="H326" i="4" s="1"/>
  <c r="H612" i="4"/>
  <c r="E52" i="12" s="1"/>
  <c r="H649" i="4"/>
  <c r="H301" i="4"/>
  <c r="H579" i="4" s="1"/>
  <c r="E19" i="12" s="1"/>
  <c r="H551" i="4"/>
  <c r="H552" i="4"/>
  <c r="H599" i="4"/>
  <c r="E39" i="12" s="1"/>
  <c r="H448" i="4"/>
  <c r="H447" i="4"/>
  <c r="H587" i="4"/>
  <c r="E27" i="12" s="1"/>
  <c r="H584" i="4"/>
  <c r="E24" i="12" s="1"/>
  <c r="H631" i="4"/>
  <c r="H571" i="4"/>
  <c r="E11" i="12" s="1"/>
  <c r="H235" i="4"/>
  <c r="H246" i="4"/>
  <c r="H640" i="4"/>
  <c r="H481" i="4"/>
  <c r="H505" i="4"/>
  <c r="H9" i="4"/>
  <c r="H300" i="4" l="1"/>
  <c r="H577" i="4" s="1"/>
  <c r="E17" i="12" s="1"/>
  <c r="H635" i="4"/>
  <c r="H656" i="4"/>
  <c r="H643" i="4"/>
  <c r="H550" i="4"/>
  <c r="H614" i="4"/>
  <c r="E54" i="12" s="1"/>
  <c r="H594" i="4"/>
  <c r="E34" i="12" s="1"/>
  <c r="H610" i="4"/>
  <c r="E50" i="12" s="1"/>
  <c r="H446" i="4"/>
  <c r="H569" i="4"/>
  <c r="E9" i="12" s="1"/>
  <c r="H223" i="4"/>
  <c r="H480" i="4"/>
  <c r="H601" i="4"/>
  <c r="E41" i="12" s="1"/>
  <c r="H582" i="4"/>
  <c r="E22" i="12" s="1"/>
  <c r="E6" i="12" l="1"/>
  <c r="H674" i="4"/>
  <c r="H609" i="4"/>
  <c r="E49" i="12" s="1"/>
  <c r="H566" i="4"/>
  <c r="H222" i="4"/>
  <c r="H626" i="4" l="1"/>
  <c r="E66" i="12" s="1"/>
  <c r="H565" i="4"/>
  <c r="H675" i="4" l="1"/>
  <c r="H627" i="4"/>
  <c r="I144" i="4" l="1"/>
  <c r="I307" i="4" l="1"/>
  <c r="G324" i="4"/>
  <c r="G323" i="4" l="1"/>
  <c r="I324" i="4"/>
  <c r="G555" i="4"/>
  <c r="G501" i="4"/>
  <c r="I501" i="4" s="1"/>
  <c r="G451" i="4"/>
  <c r="G363" i="4"/>
  <c r="G658" i="4"/>
  <c r="I658" i="4" s="1"/>
  <c r="I323" i="4" l="1"/>
  <c r="G322" i="4"/>
  <c r="G651" i="4" s="1"/>
  <c r="G362" i="4"/>
  <c r="I362" i="4" s="1"/>
  <c r="I363" i="4"/>
  <c r="G554" i="4"/>
  <c r="I555" i="4"/>
  <c r="G450" i="4"/>
  <c r="I451" i="4"/>
  <c r="G500" i="4"/>
  <c r="G619" i="4"/>
  <c r="D59" i="12" s="1"/>
  <c r="F59" i="12" s="1"/>
  <c r="G632" i="4"/>
  <c r="I632" i="4" s="1"/>
  <c r="G358" i="4" l="1"/>
  <c r="G351" i="4" s="1"/>
  <c r="G449" i="4"/>
  <c r="I450" i="4"/>
  <c r="G553" i="4"/>
  <c r="I554" i="4"/>
  <c r="I619" i="4"/>
  <c r="G639" i="4"/>
  <c r="I639" i="4" s="1"/>
  <c r="I500" i="4"/>
  <c r="G498" i="4"/>
  <c r="G499" i="4"/>
  <c r="I499" i="4" s="1"/>
  <c r="G642" i="4"/>
  <c r="I642" i="4" s="1"/>
  <c r="G282" i="4"/>
  <c r="I282" i="4" s="1"/>
  <c r="G226" i="4"/>
  <c r="I226" i="4" l="1"/>
  <c r="I351" i="4"/>
  <c r="G587" i="4"/>
  <c r="G352" i="4"/>
  <c r="I352" i="4" s="1"/>
  <c r="G633" i="4"/>
  <c r="I633" i="4" s="1"/>
  <c r="I358" i="4"/>
  <c r="G599" i="4"/>
  <c r="I498" i="4"/>
  <c r="I449" i="4"/>
  <c r="G448" i="4"/>
  <c r="I448" i="4" s="1"/>
  <c r="G447" i="4"/>
  <c r="I447" i="4" s="1"/>
  <c r="G551" i="4"/>
  <c r="I553" i="4"/>
  <c r="G552" i="4"/>
  <c r="I552" i="4" s="1"/>
  <c r="G225" i="4"/>
  <c r="I225" i="4" s="1"/>
  <c r="D650" i="4"/>
  <c r="C650" i="4" s="1"/>
  <c r="I599" i="4" l="1"/>
  <c r="D39" i="12"/>
  <c r="F39" i="12" s="1"/>
  <c r="I587" i="4"/>
  <c r="D27" i="12"/>
  <c r="F27" i="12" s="1"/>
  <c r="I551" i="4"/>
  <c r="G614" i="4"/>
  <c r="D54" i="12" s="1"/>
  <c r="F54" i="12" s="1"/>
  <c r="G570" i="4"/>
  <c r="D10" i="12" s="1"/>
  <c r="F10" i="12" s="1"/>
  <c r="I570" i="4" l="1"/>
  <c r="I614" i="4"/>
  <c r="D673" i="4"/>
  <c r="C673" i="4" s="1"/>
  <c r="G224" i="4"/>
  <c r="I224" i="4" s="1"/>
  <c r="G230" i="4"/>
  <c r="G233" i="4"/>
  <c r="G249" i="4"/>
  <c r="G273" i="4"/>
  <c r="G305" i="4"/>
  <c r="I305" i="4" s="1"/>
  <c r="G333" i="4"/>
  <c r="I333" i="4" s="1"/>
  <c r="G335" i="4"/>
  <c r="I335" i="4" s="1"/>
  <c r="I230" i="4" l="1"/>
  <c r="G248" i="4"/>
  <c r="I249" i="4"/>
  <c r="G272" i="4"/>
  <c r="I272" i="4" s="1"/>
  <c r="I273" i="4"/>
  <c r="G232" i="4"/>
  <c r="I232" i="4" s="1"/>
  <c r="I233" i="4"/>
  <c r="G330" i="4"/>
  <c r="G528" i="4"/>
  <c r="I528" i="4" s="1"/>
  <c r="G597" i="4"/>
  <c r="D642" i="4"/>
  <c r="D646" i="4"/>
  <c r="C646" i="4" s="1"/>
  <c r="D636" i="4"/>
  <c r="C636" i="4" s="1"/>
  <c r="G455" i="4"/>
  <c r="I455" i="4" s="1"/>
  <c r="G600" i="4"/>
  <c r="G613" i="4"/>
  <c r="D53" i="12" s="1"/>
  <c r="F53" i="12" s="1"/>
  <c r="G567" i="4"/>
  <c r="D7" i="12" s="1"/>
  <c r="G610" i="4"/>
  <c r="D50" i="12" s="1"/>
  <c r="F50" i="12" s="1"/>
  <c r="D652" i="4"/>
  <c r="C652" i="4" s="1"/>
  <c r="G481" i="4"/>
  <c r="I481" i="4" s="1"/>
  <c r="G304" i="4"/>
  <c r="I304" i="4" s="1"/>
  <c r="G135" i="4"/>
  <c r="I135" i="4" s="1"/>
  <c r="G471" i="4"/>
  <c r="G550" i="4"/>
  <c r="I550" i="4" s="1"/>
  <c r="I600" i="4" l="1"/>
  <c r="D40" i="12"/>
  <c r="F40" i="12" s="1"/>
  <c r="I597" i="4"/>
  <c r="D37" i="12"/>
  <c r="F37" i="12" s="1"/>
  <c r="F7" i="12"/>
  <c r="G672" i="4"/>
  <c r="I672" i="4" s="1"/>
  <c r="G618" i="4"/>
  <c r="I471" i="4"/>
  <c r="I613" i="4"/>
  <c r="I651" i="4"/>
  <c r="I322" i="4"/>
  <c r="I610" i="4"/>
  <c r="G329" i="4"/>
  <c r="I329" i="4" s="1"/>
  <c r="I330" i="4"/>
  <c r="I573" i="4"/>
  <c r="G229" i="4"/>
  <c r="I229" i="4" s="1"/>
  <c r="I567" i="4"/>
  <c r="G247" i="4"/>
  <c r="I248" i="4"/>
  <c r="G454" i="4"/>
  <c r="G270" i="4"/>
  <c r="G271" i="4"/>
  <c r="I271" i="4" s="1"/>
  <c r="G321" i="4"/>
  <c r="I321" i="4" s="1"/>
  <c r="G303" i="4"/>
  <c r="I303" i="4" s="1"/>
  <c r="G596" i="4"/>
  <c r="D36" i="12" s="1"/>
  <c r="F36" i="12" s="1"/>
  <c r="C642" i="4"/>
  <c r="D631" i="4"/>
  <c r="C631" i="4" s="1"/>
  <c r="D657" i="4"/>
  <c r="C657" i="4" s="1"/>
  <c r="G320" i="4"/>
  <c r="D640" i="4"/>
  <c r="C640" i="4" s="1"/>
  <c r="G228" i="4"/>
  <c r="I228" i="4" s="1"/>
  <c r="G574" i="4"/>
  <c r="D14" i="12" s="1"/>
  <c r="F14" i="12" s="1"/>
  <c r="G155" i="4"/>
  <c r="I618" i="4" l="1"/>
  <c r="D58" i="12"/>
  <c r="F58" i="12" s="1"/>
  <c r="G327" i="4"/>
  <c r="I327" i="4" s="1"/>
  <c r="G328" i="4"/>
  <c r="I328" i="4" s="1"/>
  <c r="G631" i="4"/>
  <c r="I631" i="4" s="1"/>
  <c r="G453" i="4"/>
  <c r="G446" i="4" s="1"/>
  <c r="I446" i="4" s="1"/>
  <c r="I454" i="4"/>
  <c r="G581" i="4"/>
  <c r="D21" i="12" s="1"/>
  <c r="F21" i="12" s="1"/>
  <c r="I320" i="4"/>
  <c r="G620" i="4"/>
  <c r="I155" i="4"/>
  <c r="I574" i="4"/>
  <c r="I596" i="4"/>
  <c r="G235" i="4"/>
  <c r="G223" i="4" s="1"/>
  <c r="I223" i="4" s="1"/>
  <c r="I247" i="4"/>
  <c r="G246" i="4"/>
  <c r="I246" i="4" s="1"/>
  <c r="G640" i="4"/>
  <c r="G571" i="4"/>
  <c r="D11" i="12" s="1"/>
  <c r="F11" i="12" s="1"/>
  <c r="I270" i="4"/>
  <c r="G301" i="4"/>
  <c r="G300" i="4" s="1"/>
  <c r="G649" i="4"/>
  <c r="G302" i="4"/>
  <c r="I302" i="4" s="1"/>
  <c r="G505" i="4"/>
  <c r="G603" i="4"/>
  <c r="D43" i="12" s="1"/>
  <c r="F43" i="12" s="1"/>
  <c r="G568" i="4"/>
  <c r="D8" i="12" s="1"/>
  <c r="G623" i="4"/>
  <c r="D63" i="12" s="1"/>
  <c r="F63" i="12" s="1"/>
  <c r="G143" i="4"/>
  <c r="I143" i="4" s="1"/>
  <c r="D649" i="4"/>
  <c r="C649" i="4" s="1"/>
  <c r="G622" i="4"/>
  <c r="I620" i="4" l="1"/>
  <c r="D60" i="12"/>
  <c r="F60" i="12" s="1"/>
  <c r="I622" i="4"/>
  <c r="D62" i="12"/>
  <c r="F62" i="12" s="1"/>
  <c r="F8" i="12"/>
  <c r="G584" i="4"/>
  <c r="D24" i="12" s="1"/>
  <c r="F24" i="12" s="1"/>
  <c r="G635" i="4"/>
  <c r="I635" i="4" s="1"/>
  <c r="G326" i="4"/>
  <c r="I326" i="4" s="1"/>
  <c r="I571" i="4"/>
  <c r="I235" i="4"/>
  <c r="G569" i="4"/>
  <c r="D9" i="12" s="1"/>
  <c r="F9" i="12" s="1"/>
  <c r="I581" i="4"/>
  <c r="I623" i="4"/>
  <c r="I603" i="4"/>
  <c r="G643" i="4"/>
  <c r="I643" i="4" s="1"/>
  <c r="I640" i="4"/>
  <c r="I568" i="4"/>
  <c r="G480" i="4"/>
  <c r="I480" i="4" s="1"/>
  <c r="I505" i="4"/>
  <c r="G656" i="4"/>
  <c r="I656" i="4" s="1"/>
  <c r="I649" i="4"/>
  <c r="G612" i="4"/>
  <c r="D52" i="12" s="1"/>
  <c r="F52" i="12" s="1"/>
  <c r="I453" i="4"/>
  <c r="G579" i="4"/>
  <c r="D19" i="12" s="1"/>
  <c r="F19" i="12" s="1"/>
  <c r="I301" i="4"/>
  <c r="G577" i="4"/>
  <c r="I300" i="4"/>
  <c r="G222" i="4"/>
  <c r="I222" i="4" s="1"/>
  <c r="G601" i="4"/>
  <c r="G609" i="4"/>
  <c r="G10" i="4"/>
  <c r="I10" i="4" s="1"/>
  <c r="G566" i="4"/>
  <c r="I566" i="4" s="1"/>
  <c r="I601" i="4" l="1"/>
  <c r="D41" i="12"/>
  <c r="F41" i="12" s="1"/>
  <c r="I584" i="4"/>
  <c r="G582" i="4"/>
  <c r="D6" i="12"/>
  <c r="F6" i="12" s="1"/>
  <c r="I609" i="4"/>
  <c r="D49" i="12"/>
  <c r="F49" i="12" s="1"/>
  <c r="I577" i="4"/>
  <c r="D17" i="12"/>
  <c r="F17" i="12" s="1"/>
  <c r="I579" i="4"/>
  <c r="I569" i="4"/>
  <c r="G674" i="4"/>
  <c r="I674" i="4" s="1"/>
  <c r="I612" i="4"/>
  <c r="G9" i="4"/>
  <c r="G594" i="4"/>
  <c r="D34" i="12" s="1"/>
  <c r="F34" i="12" s="1"/>
  <c r="I582" i="4" l="1"/>
  <c r="D22" i="12"/>
  <c r="F22" i="12" s="1"/>
  <c r="G626" i="4"/>
  <c r="I594" i="4"/>
  <c r="G565" i="4"/>
  <c r="I565" i="4" s="1"/>
  <c r="I9" i="4"/>
  <c r="I626" i="4" l="1"/>
  <c r="D66" i="12"/>
  <c r="G675" i="4"/>
  <c r="I675" i="4"/>
  <c r="I627" i="4"/>
  <c r="G627" i="4"/>
  <c r="D672" i="4"/>
  <c r="C672" i="4" s="1"/>
  <c r="F66" i="12" l="1"/>
  <c r="D633" i="4"/>
  <c r="C633" i="4" s="1"/>
  <c r="D647" i="4"/>
  <c r="C647" i="4" s="1"/>
  <c r="D632" i="4"/>
  <c r="C632" i="4" s="1"/>
  <c r="D644" i="4"/>
  <c r="C644" i="4" s="1"/>
  <c r="D648" i="4"/>
  <c r="C648" i="4" s="1"/>
  <c r="D656" i="4" l="1"/>
  <c r="C656" i="4" s="1"/>
  <c r="D638" i="4"/>
  <c r="C638" i="4" s="1"/>
  <c r="D651" i="4"/>
  <c r="C651" i="4" s="1"/>
  <c r="D629" i="4"/>
  <c r="C629" i="4" s="1"/>
  <c r="D641" i="4"/>
  <c r="C641" i="4" s="1"/>
  <c r="D635" i="4" l="1"/>
  <c r="C635" i="4" s="1"/>
  <c r="D639" i="4" l="1"/>
  <c r="C639" i="4" s="1"/>
  <c r="D643" i="4" l="1"/>
  <c r="C643" i="4" s="1"/>
</calcChain>
</file>

<file path=xl/sharedStrings.xml><?xml version="1.0" encoding="utf-8"?>
<sst xmlns="http://schemas.openxmlformats.org/spreadsheetml/2006/main" count="3649" uniqueCount="916">
  <si>
    <t>9900000000</t>
  </si>
  <si>
    <t>0400000000</t>
  </si>
  <si>
    <t>0300000000</t>
  </si>
  <si>
    <t>0200000000</t>
  </si>
  <si>
    <t>0100000000</t>
  </si>
  <si>
    <t>500</t>
  </si>
  <si>
    <t>03</t>
  </si>
  <si>
    <t>14</t>
  </si>
  <si>
    <t>Межбюджетные трансферты</t>
  </si>
  <si>
    <t>0310100000</t>
  </si>
  <si>
    <t xml:space="preserve">Основное мероприятие Обеспечение сбалансированности и устойчивости местного бюджета муниципального образования "Онгудайский район" </t>
  </si>
  <si>
    <t>0310000000</t>
  </si>
  <si>
    <t>01</t>
  </si>
  <si>
    <t>0310120000</t>
  </si>
  <si>
    <t xml:space="preserve">Дотации на выравнивание бюджетной обеспеченности субъектов РФ и муниципальных образований </t>
  </si>
  <si>
    <t>00</t>
  </si>
  <si>
    <t>Межбюджетные трансферты бюджетам субъектов РФ и муниципальных образований общего характера</t>
  </si>
  <si>
    <t>700</t>
  </si>
  <si>
    <t>Обслуживание государственного (муниципального) долга</t>
  </si>
  <si>
    <t>0310110000</t>
  </si>
  <si>
    <t>13</t>
  </si>
  <si>
    <t>Обслуживание внутреннего государственного и муниципального долга</t>
  </si>
  <si>
    <t>600</t>
  </si>
  <si>
    <t>02</t>
  </si>
  <si>
    <t>12</t>
  </si>
  <si>
    <t>Предоставление субсидий бюджетным, автономным учреждениям и иным некоммерческим организациям</t>
  </si>
  <si>
    <t>0120000000</t>
  </si>
  <si>
    <t>Периодическая печать и издательства</t>
  </si>
  <si>
    <t>Средства массовой информации</t>
  </si>
  <si>
    <t>100</t>
  </si>
  <si>
    <t>05</t>
  </si>
  <si>
    <t>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</si>
  <si>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</si>
  <si>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0210110000</t>
  </si>
  <si>
    <t>0210000000</t>
  </si>
  <si>
    <t>Другие вопросы в области физической культуры и спорта.</t>
  </si>
  <si>
    <t>300</t>
  </si>
  <si>
    <t>990000Ш500</t>
  </si>
  <si>
    <t>Социальное обеспечение и иные выплаты населению</t>
  </si>
  <si>
    <t>Резервный фонд местной администрации</t>
  </si>
  <si>
    <t>Закупка товаров, работ и услуг для обеспечения государственных (муниципальных) нужд</t>
  </si>
  <si>
    <t>Основное мероприятие Развитие физической культуры, спорта  и формирование здорового образа жизни в муниципальном образовании "Онгудайский район"</t>
  </si>
  <si>
    <t xml:space="preserve">Физическая культура </t>
  </si>
  <si>
    <t>Физическая культура и спорт</t>
  </si>
  <si>
    <t>200</t>
  </si>
  <si>
    <t>0220110000</t>
  </si>
  <si>
    <t>06</t>
  </si>
  <si>
    <t>10</t>
  </si>
  <si>
    <t>Основное мероприятие Социальная защита населения  в муниципальном образовании "Онгудайский район"</t>
  </si>
  <si>
    <t>0220143400</t>
  </si>
  <si>
    <t>0220000000</t>
  </si>
  <si>
    <t>Другие вопросы в области социальной политики</t>
  </si>
  <si>
    <t>04</t>
  </si>
  <si>
    <t>0230000000</t>
  </si>
  <si>
    <t>Охрана семьи и детства</t>
  </si>
  <si>
    <t>0110000000</t>
  </si>
  <si>
    <t>Социальное обеспечение населения</t>
  </si>
  <si>
    <t>Пенсионное обеспечение</t>
  </si>
  <si>
    <t>Социальная политика</t>
  </si>
  <si>
    <t>09</t>
  </si>
  <si>
    <t>Другие вопросы в области здравоохранения</t>
  </si>
  <si>
    <t>Капитальные вложения в объекты государственной (муниципальной) собственности</t>
  </si>
  <si>
    <t>Стационарная медицинская помощь</t>
  </si>
  <si>
    <t>08</t>
  </si>
  <si>
    <t xml:space="preserve">Иные бюджетные ассигнования
</t>
  </si>
  <si>
    <t>Расходы на выплаты по оплате труда работников   Отдела культуры  МО "Онгудайский район"</t>
  </si>
  <si>
    <t>Другие вопросы в области культуры, кинематографии</t>
  </si>
  <si>
    <t>Культура</t>
  </si>
  <si>
    <t>Культура и кинематография</t>
  </si>
  <si>
    <t>07</t>
  </si>
  <si>
    <t>800</t>
  </si>
  <si>
    <t>Расходы на выплаты по оплате труда работников   Отдела образования МО "Онгудайский район"</t>
  </si>
  <si>
    <t>Другие вопросы в области образования</t>
  </si>
  <si>
    <t>Молодежная политика и оздоровление детей</t>
  </si>
  <si>
    <t xml:space="preserve">Основное мероприятие Развитие дополнительного образования </t>
  </si>
  <si>
    <t xml:space="preserve">Совершенствование организации питания в   организованных детских коллективах Онгудайского района
</t>
  </si>
  <si>
    <t>Общее образование</t>
  </si>
  <si>
    <t>Дошкольное образование</t>
  </si>
  <si>
    <t xml:space="preserve">Образование </t>
  </si>
  <si>
    <t>0420000000</t>
  </si>
  <si>
    <t>Основное мероприятие: Обеспечение населения муниципального образования "Онгудайским район" качественной питьевой водой</t>
  </si>
  <si>
    <t>0410000000</t>
  </si>
  <si>
    <t>0320000000</t>
  </si>
  <si>
    <t>Коммунальное хозяйство</t>
  </si>
  <si>
    <t>Жилищное хозяйство</t>
  </si>
  <si>
    <t>Жилищно-коммунальное хозяйство</t>
  </si>
  <si>
    <t>Основное мероприятие территориальное планирование  в муниципальном образовании "Онгудайский район"</t>
  </si>
  <si>
    <t>0130110000</t>
  </si>
  <si>
    <t>0130000000</t>
  </si>
  <si>
    <t>Другие вопросы в области  национальной экономики</t>
  </si>
  <si>
    <t>Дорожное хояйство (дорожные фонды)</t>
  </si>
  <si>
    <t>0110140300</t>
  </si>
  <si>
    <t>0110140100</t>
  </si>
  <si>
    <t>0110110000</t>
  </si>
  <si>
    <t>Основное мероприятие Развитие  агропромышленного комплекса территории  муниципального образования "Онгудайский район"</t>
  </si>
  <si>
    <t>Сельское хозяйство и рыболовство</t>
  </si>
  <si>
    <t>Национальная экономика</t>
  </si>
  <si>
    <t>0410110000</t>
  </si>
  <si>
    <t>Основное мероприятиеКомплексные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</t>
  </si>
  <si>
    <t>Другие вопросы в области национальной безопасности и правоохранительной деятельности</t>
  </si>
  <si>
    <t>040К110190</t>
  </si>
  <si>
    <t>040К100110</t>
  </si>
  <si>
    <t>040К100100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</si>
  <si>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</si>
  <si>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Национальная безопасность и правоохранительная деятельность</t>
  </si>
  <si>
    <t>Национальная оборона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</si>
  <si>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</si>
  <si>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0210244900</t>
  </si>
  <si>
    <t>0120142900</t>
  </si>
  <si>
    <t xml:space="preserve">Субвенции на осуществление государственных полномочий по лицензированию розничной продажи алкогольной продукции 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</si>
  <si>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</si>
  <si>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</si>
  <si>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</si>
  <si>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990А000310</t>
  </si>
  <si>
    <t>Расходы на выплаты по оплате труда работников Контрольно-счетной палаты МО "Онгудайский район"</t>
  </si>
  <si>
    <t>990А000300</t>
  </si>
  <si>
    <t>Непрограммные направления деятельности Контрольно-счетной палаты МО "Онгудайский район"</t>
  </si>
  <si>
    <t>030А192000</t>
  </si>
  <si>
    <t>Обеспечение деятельности  финансовых, налоговых и таможенных  органов и органов финансового надзора</t>
  </si>
  <si>
    <t>Расходы на обеспечение функций    Администрации МО "Онгудайский район"</t>
  </si>
  <si>
    <t>Расходы на выплаты по оплате труда работников   Администрации МО "Онгудайский район"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</si>
  <si>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</si>
  <si>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990А000410</t>
  </si>
  <si>
    <t>Расходы на выплаты по оплате труда работниковСовета депутатов МО "Онгудайский район"</t>
  </si>
  <si>
    <t>990А000400</t>
  </si>
  <si>
    <t>Непрограммные направления деятельности Совета депутатов МО "Онгудайский район"</t>
  </si>
  <si>
    <t>990А000200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</si>
  <si>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</si>
  <si>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</si>
  <si>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990А000100</t>
  </si>
  <si>
    <t xml:space="preserve">Высшее должностное лицо муниципального образования </t>
  </si>
  <si>
    <t>Функционирование высшего должностного лица субъекта Российской Федерации и органа местного самоуправления</t>
  </si>
  <si>
    <t>Общегосударственные вопросы</t>
  </si>
  <si>
    <t>Целевая статья</t>
  </si>
  <si>
    <t>Подраздел</t>
  </si>
  <si>
    <t>Раздел</t>
  </si>
  <si>
    <t>(тыс.рублей)</t>
  </si>
  <si>
    <t>ВСЕГО РАСХОДОВ</t>
  </si>
  <si>
    <t>Прочие 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</si>
  <si>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РФ и муниципальных образований</t>
  </si>
  <si>
    <t>1400</t>
  </si>
  <si>
    <t xml:space="preserve">Межбюджетные трансферты бюджетам субъектов РФ и муниципальных образований </t>
  </si>
  <si>
    <t>1300</t>
  </si>
  <si>
    <t>Обслуживание государственного и муниципального долга</t>
  </si>
  <si>
    <t>1200</t>
  </si>
  <si>
    <t>Физическая культура</t>
  </si>
  <si>
    <t>1100</t>
  </si>
  <si>
    <t>Охрана семьи  и детства</t>
  </si>
  <si>
    <t>Социальное обеспечение население</t>
  </si>
  <si>
    <t>Социальное обслуживание населения</t>
  </si>
  <si>
    <t>1000</t>
  </si>
  <si>
    <t>Скорая медицинская помощь</t>
  </si>
  <si>
    <t>Амбулаторная помощь</t>
  </si>
  <si>
    <t>0900</t>
  </si>
  <si>
    <t xml:space="preserve">Здравоохранение </t>
  </si>
  <si>
    <t xml:space="preserve">Другие вопросы в области культуры, кинематографии </t>
  </si>
  <si>
    <t>0800</t>
  </si>
  <si>
    <t xml:space="preserve">Культура и кинематография </t>
  </si>
  <si>
    <t>Профессиональная подготовка, переподготовка и повышение квалификации</t>
  </si>
  <si>
    <t>0700</t>
  </si>
  <si>
    <t>Образование</t>
  </si>
  <si>
    <t>Охрана объектов  растительного и животного мира и среды их обитания</t>
  </si>
  <si>
    <t>0600</t>
  </si>
  <si>
    <t>Охрана окружающей среды</t>
  </si>
  <si>
    <t>Благоустройство</t>
  </si>
  <si>
    <t>0500</t>
  </si>
  <si>
    <t>Жилищно- коммунальное хозяйство</t>
  </si>
  <si>
    <t>Другие вопросы в области национальной экономики</t>
  </si>
  <si>
    <t>Дорожное хозяйство ( дорожные фонды)</t>
  </si>
  <si>
    <t>Общеэкономические вопросы</t>
  </si>
  <si>
    <t>0400</t>
  </si>
  <si>
    <t>Защита населения  и территории от  чрезвычайных ситуаций природного  и техногенного характера, гражданская оборона</t>
  </si>
  <si>
    <t>Органы внутренних дел</t>
  </si>
  <si>
    <t>0300</t>
  </si>
  <si>
    <t>Мобилизационная и вневойсковая подготовка</t>
  </si>
  <si>
    <t>0200</t>
  </si>
  <si>
    <t>Обеспечение деятельности финансовых,органов финансового (финансово-бюджетного) надзора</t>
  </si>
  <si>
    <t>Судебная система</t>
  </si>
  <si>
    <t>Функционирование местных администраций</t>
  </si>
  <si>
    <t>Функционирование представительных органов муниципальных образований</t>
  </si>
  <si>
    <t>Функционирование высшего должностного лица муниципального образования</t>
  </si>
  <si>
    <t>0100</t>
  </si>
  <si>
    <t>Раздел, подраздел</t>
  </si>
  <si>
    <t>Наименование показателя</t>
  </si>
  <si>
    <t xml:space="preserve">Всего </t>
  </si>
  <si>
    <t>810</t>
  </si>
  <si>
    <t>Основное мероприятие Поддержка малого и среднего предпринимательства на территории МО "Онгудайский  район"</t>
  </si>
  <si>
    <t>092</t>
  </si>
  <si>
    <t>Ощегосударственные вопросы</t>
  </si>
  <si>
    <t>074</t>
  </si>
  <si>
    <t xml:space="preserve">Предоставление муниципальных  услуг в  муниципальных образовательных организациях   дошкольного образования в муниципальном образовании "Онгудайский район" </t>
  </si>
  <si>
    <t>Вид расхода</t>
  </si>
  <si>
    <t>Ведомства</t>
  </si>
  <si>
    <t xml:space="preserve">Коды бюджетной классификации </t>
  </si>
  <si>
    <t xml:space="preserve">Наименование </t>
  </si>
  <si>
    <t>Условно-утверждаемые расходы</t>
  </si>
  <si>
    <t>99</t>
  </si>
  <si>
    <t>Расходы на выплаты по оплате труда работников   МКУ ГОЧС</t>
  </si>
  <si>
    <t>Расходы на обеспечение функций   МКУ ГО ЧС</t>
  </si>
  <si>
    <t>Муниципальная программа "Развитие систем жизнеобеспечения и повышение безопасности населения муниципального образования "Онгудайский  район"</t>
  </si>
  <si>
    <t>Выплата ежемесячной надбавки к заработной плате педагогическим работникам, отнесенным к категории молодых специалистов</t>
  </si>
  <si>
    <t>040К100000</t>
  </si>
  <si>
    <t>Основное мероприятие Развитие библиотечного обслуживания в муниципальном образовании"Онгудайский район"</t>
  </si>
  <si>
    <t>Дополнительное  образование детей</t>
  </si>
  <si>
    <t>0500000000</t>
  </si>
  <si>
    <t>Отдел образования Администрации района (аймака) муниципального образования "Онгудайский район"</t>
  </si>
  <si>
    <t>Основное мероприятие Оказание дополнительных мер социальной поддержки отдельным категориям  граждан муниципального образования "Онгудайский район"</t>
  </si>
  <si>
    <t>990000Ш000</t>
  </si>
  <si>
    <t>Основное мерпориятие: Материально-техническое обеспечение Администрации МО "Онгудайский район"</t>
  </si>
  <si>
    <t xml:space="preserve">Подпрограмма "Развитие систем социальной поддержки населения "муниципальной программы" Социальное развитие муниципального образования  «Онгудайский район» </t>
  </si>
  <si>
    <t>0220100000</t>
  </si>
  <si>
    <t>Основное мероприятие  «Защита от жестокого обращения и профилактика насилия детей»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</si>
  <si>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</t>
  </si>
  <si>
    <t xml:space="preserve">Подпрограмма "Развитие конкурентоспособной экономики" муницпального образования "Онгудайский район" муниципальной программы "Развитие экономического потенциала и предпринимательства  МО  "Онгудайский район" </t>
  </si>
  <si>
    <t xml:space="preserve">Подпрограмма "Создание условий для развития инвестиционного, инновационного, информационного и имиджевого потенциала"муниципальной программы "Развитие экономического потенциала и предпринимательства  МО  "Онгудайский район" </t>
  </si>
  <si>
    <t>Основное мероприятие Внедрение стандарта деятельности органов местного самоуправления по обеспечению благоприятного инвестиционного климата в муниципальном образовании "Онгудайский район"</t>
  </si>
  <si>
    <t>0120100000</t>
  </si>
  <si>
    <t>0210200000</t>
  </si>
  <si>
    <t>Подпрограмма " Обеспечение безопасности населения " 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</si>
  <si>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>0410100000</t>
  </si>
  <si>
    <t xml:space="preserve">Проведение агротехнических мероприятий в рамках основного мепоприятия </t>
  </si>
  <si>
    <t>0110100000</t>
  </si>
  <si>
    <t xml:space="preserve"> Развитие малых форм хозяйствования и кооперации на селе </t>
  </si>
  <si>
    <t xml:space="preserve">Подпрограмма "Развитие малого и среднего предпринимательства" муниципальной программы  "Развитие экономического потенциала и предпринимательства  МО  "Онгудайский район" </t>
  </si>
  <si>
    <t>0130100000</t>
  </si>
  <si>
    <t>0130200000</t>
  </si>
  <si>
    <t>0130220000</t>
  </si>
  <si>
    <t>Основное мероприятие : Формирование внешней  среды малого и среднего предпринимательства на территории МО "Онгудайский район"</t>
  </si>
  <si>
    <t>Оказание информационно-консультативной поддержки предпринимательства;</t>
  </si>
  <si>
    <t>0110200000</t>
  </si>
  <si>
    <t>Программа производственного контроля за соблюдением  санитарных правил и выполнением санитарно-противоэпидемических и профилактических мероприятий</t>
  </si>
  <si>
    <t>Основное мероприятие "Организация теплоснабжения населения муниципального образования "Онгудайский район"</t>
  </si>
  <si>
    <t>0420200000</t>
  </si>
  <si>
    <t xml:space="preserve">Подпрограмма "Развитие систем социальной поддержки населения "муниципальной  программы " Социальное развитие муниципального образования  «Онгудайский район» </t>
  </si>
  <si>
    <t>0220200000</t>
  </si>
  <si>
    <t>Доплата к пенсии отдельным категориям  граждан муниципального образования "Онгудайский район"</t>
  </si>
  <si>
    <t>0220220000</t>
  </si>
  <si>
    <t>Основное мероприятие :Устойчивое развитие сельских территорий</t>
  </si>
  <si>
    <t>0210100000</t>
  </si>
  <si>
    <t xml:space="preserve">Реализация молодежной политики муниципального образования "Онгудайский район" </t>
  </si>
  <si>
    <t>0210600000</t>
  </si>
  <si>
    <t>0210610000</t>
  </si>
  <si>
    <t>Основное мероприятие :Материально–техническое обеспечение Отдела культуры МО "Онгудайский район"</t>
  </si>
  <si>
    <t>Провдение мероприятий в  рамках социальной защиты  населения  в муниципальном образовании "Онгудайский район"</t>
  </si>
  <si>
    <t>010А10000</t>
  </si>
  <si>
    <t>0510000000</t>
  </si>
  <si>
    <t>УУР</t>
  </si>
  <si>
    <t>Основное направление Архивное дело в рамках подпрограммы "Развитие культуры" муниципальной программы МО "Онгудайский район" "Социальное развитие"</t>
  </si>
  <si>
    <t>Обеспечивающая подпрограмма  Материально – техническое обеспечение МКУ ГОЧС муниципальной программы "Развитие систем жизнеобеспечения и повышение безопасности населения муниципального образования "Онгудайский  район"</t>
  </si>
  <si>
    <t>Основное мероприятие:Материально – техническое обеспечение МКУ ГОЧС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</si>
  <si>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</si>
  <si>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на реализацию  государственных полномочий Республики Алтай, связанных с организацией и обеспечением отдыха и оздоровления детей</t>
  </si>
  <si>
    <t>Субвенции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</si>
  <si>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</si>
  <si>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</si>
  <si>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</si>
  <si>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</si>
  <si>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Субсидии на осуществление энергосберегающих технических мероприятий на системах теплоснабжения и водоотведения и модернизацииоборудования на объектах, участвующих в предоставл.коммун.услуг</t>
  </si>
  <si>
    <t>Подпрограмма  "Развитие дошкольного и общего образования" муниципальной программы" «Развитие образования в муниципальном образовании «Онгудайский район»</t>
  </si>
  <si>
    <t>Основное мероприятие Развитие системы содержания и обучения детей в общеобразовательных организациях образования в муниципальном образовании "Онгудайский район"</t>
  </si>
  <si>
    <t>Выплата заработной платы прочему персоналу общеобразовательных организаций  образования в муниципальном образовании "Онгудайский район"</t>
  </si>
  <si>
    <t>Подпрограмма  "Развитие системы дополнительного образования детей"  муниципальной программы" «Развитие образования в муниципальном образовании «Онгудайский район»</t>
  </si>
  <si>
    <t xml:space="preserve">Развитие дополнительного образования детей в сфере физической культуры и спорта </t>
  </si>
  <si>
    <t xml:space="preserve">Развитие дополнительного образования детей в  центрах детского творчества </t>
  </si>
  <si>
    <t>Основное мероприятие «Организация отдыха, оздоровленияи занятости детей»</t>
  </si>
  <si>
    <t xml:space="preserve">Обеспечивающая подпрограмма «Создание условий реализации муниципальной программы муниципального образования «Управление муниципальными финансами в муниципальном образовании «Онгудайский район» </t>
  </si>
  <si>
    <t>Подпрограмма "Повышение эффективности бюджетных расходов в муниципальном образовании «Онгудайский район»</t>
  </si>
  <si>
    <t>Подпрограмма "Повышение эффективности бюджетных расходов в муниципальном образовании «Онгудайский район» муниципальной программы «Управление муниципальными финансами в муниципальном образовании  «Онгудайский район»</t>
  </si>
  <si>
    <t xml:space="preserve">Обслуживание государственного (муниципального) долга </t>
  </si>
  <si>
    <t>Подпрограмма  "Повышение безопасности населения" муниципальной программы«Развитие систем жизнеобеспечения и повышение безопасности населения в муниципальном образовании «Онгудайский район»</t>
  </si>
  <si>
    <t>0410300000</t>
  </si>
  <si>
    <t>0410345500</t>
  </si>
  <si>
    <t xml:space="preserve">Подпрограмма "Развитие культуры" муниципальной программы " Социальное развитие муниципального образования  «Онгудайский район»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</si>
  <si>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</si>
  <si>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Основное мероприятие Обеспечение сбалансированности и устойчивости местного бюджета муниципального образования "Онгудайский район"</t>
  </si>
  <si>
    <t>0310145300</t>
  </si>
  <si>
    <t>0310145400</t>
  </si>
  <si>
    <t>Подпрограмма "Развитие транспортной инфраструктуры"муниципальной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</si>
  <si>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>0430000000</t>
  </si>
  <si>
    <t>0430100000</t>
  </si>
  <si>
    <t>04301200Д0</t>
  </si>
  <si>
    <t xml:space="preserve">Подпрограмма  " Управление муниципальной собственностью"муниципальной программы  «Управление муниципальной собственностью и градостроительной деятельностью в муниципальном образовании «Онгудайский район» </t>
  </si>
  <si>
    <t>061000000</t>
  </si>
  <si>
    <t>0610100000</t>
  </si>
  <si>
    <t>0610110000</t>
  </si>
  <si>
    <t>0620000000</t>
  </si>
  <si>
    <t>0620100000</t>
  </si>
  <si>
    <t>0620110000</t>
  </si>
  <si>
    <t>коррупция</t>
  </si>
  <si>
    <t>0610000000</t>
  </si>
  <si>
    <t>0600000000</t>
  </si>
  <si>
    <t>Подпрограмма  " Развитие жилищно-коммунального комплекса"муниципальной программы «Развитие систем жизнеобеспечения и повышение безопасности населения в муниципальном образовании «Онгудайский район»</t>
  </si>
  <si>
    <t>Подпрограмма " Развитие жилищно-коммунального комплекса" 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</si>
  <si>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>0420400000</t>
  </si>
  <si>
    <t>0420420000</t>
  </si>
  <si>
    <t>Реализация мероприятий по устойчивому развитию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</si>
  <si>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Развитие дополнительного образования детей в области искусства</t>
  </si>
  <si>
    <t xml:space="preserve">Подпрограмма "Развитие спорта и молодежной политики" муниципальной программы " Социальное развитие муниципального образования  «Онгудайский район» </t>
  </si>
  <si>
    <t xml:space="preserve">Основное мероприятие Реализация молодежной политики </t>
  </si>
  <si>
    <t>0440000000</t>
  </si>
  <si>
    <t>040К2</t>
  </si>
  <si>
    <t>040К1</t>
  </si>
  <si>
    <t>0710100000</t>
  </si>
  <si>
    <t>0710000000</t>
  </si>
  <si>
    <t>0710110000</t>
  </si>
  <si>
    <t>0710110001</t>
  </si>
  <si>
    <t>0710120000</t>
  </si>
  <si>
    <t>0710144300</t>
  </si>
  <si>
    <t>07101S4500</t>
  </si>
  <si>
    <t>0720000000</t>
  </si>
  <si>
    <t>0720100000</t>
  </si>
  <si>
    <t>0720110000</t>
  </si>
  <si>
    <t>0720200000</t>
  </si>
  <si>
    <t>0720247698</t>
  </si>
  <si>
    <t>070Ц200000</t>
  </si>
  <si>
    <t>070Ц274100</t>
  </si>
  <si>
    <t>070Ц274110</t>
  </si>
  <si>
    <t>070Ц274190</t>
  </si>
  <si>
    <t>070Ц244300</t>
  </si>
  <si>
    <t>0710143895</t>
  </si>
  <si>
    <t>0720130000</t>
  </si>
  <si>
    <t>070А174000</t>
  </si>
  <si>
    <t>070Ц174000</t>
  </si>
  <si>
    <t>070Ц274000</t>
  </si>
  <si>
    <t>0700000000</t>
  </si>
  <si>
    <t>0240000000</t>
  </si>
  <si>
    <t>0240100000</t>
  </si>
  <si>
    <t>0240110000</t>
  </si>
  <si>
    <t>0240200000</t>
  </si>
  <si>
    <t>0240210000</t>
  </si>
  <si>
    <t>0310151200</t>
  </si>
  <si>
    <t>04202S1300</t>
  </si>
  <si>
    <t>0720120000</t>
  </si>
  <si>
    <t>"Дорожный фонд муниципального образования "Онгудайский район"</t>
  </si>
  <si>
    <t>Основное мероприятие Развитие транспортной инфраструктуры</t>
  </si>
  <si>
    <t>Обеспечение пожарной безопасности</t>
  </si>
  <si>
    <t>Cубсидии на обеспечение развития и укрепления материально-технической базы домов культуры в населенных пунктах с числом жителей до 50 тыс.чел.</t>
  </si>
  <si>
    <t>02101L4670</t>
  </si>
  <si>
    <t>Основное мероприятие «Реализация регионального проекта «Успех каждого ребенка»</t>
  </si>
  <si>
    <t>071E200000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</si>
  <si>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</si>
  <si>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071E250972</t>
  </si>
  <si>
    <t>Реализация мероприятий по обеспечению жильем молодых семей (субсидии)</t>
  </si>
  <si>
    <t>02401L4970</t>
  </si>
  <si>
    <t>Субвенции на осуществление государственных полномочий Республики Алтай в сфере обращения с безнадзорными животными</t>
  </si>
  <si>
    <t>Основное мероприятие Повышение эффективности использования муниципального жилого фонда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</si>
  <si>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</si>
  <si>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0420100000</t>
  </si>
  <si>
    <t>0420141100</t>
  </si>
  <si>
    <t>Субвенции на проведение Всероссийской переписи населения 2020 года</t>
  </si>
  <si>
    <t>Основное мероприятие  Привлечение инвестиций на территорию муниципального образования "Онгудайский район", оказание мер государственной поддержки</t>
  </si>
  <si>
    <t>0120300000</t>
  </si>
  <si>
    <t>0120354690</t>
  </si>
  <si>
    <t>Водное хозяйство</t>
  </si>
  <si>
    <t>Подпрограмма «Обеспечение экологической безопасности и улучшение состояния окружающей среды»</t>
  </si>
  <si>
    <t>Основное мероприятие "Ремонт гидротехнических сооружений"</t>
  </si>
  <si>
    <t>0450000000</t>
  </si>
  <si>
    <t>0450100000</t>
  </si>
  <si>
    <t>Субсидии  на оплату труда работникам бюджетной сферы</t>
  </si>
  <si>
    <t>07101S8500</t>
  </si>
  <si>
    <t>07201S8500</t>
  </si>
  <si>
    <t>040К1S8500</t>
  </si>
  <si>
    <t xml:space="preserve"> Прочие межбюджетные трансферты общего характера. 
</t>
  </si>
  <si>
    <t>03101S8500</t>
  </si>
  <si>
    <t>020А200000</t>
  </si>
  <si>
    <t>020К100000</t>
  </si>
  <si>
    <t>020К110100</t>
  </si>
  <si>
    <t>020К110110</t>
  </si>
  <si>
    <t>020К110190</t>
  </si>
  <si>
    <t>020К1S8500</t>
  </si>
  <si>
    <t>02101S8500</t>
  </si>
  <si>
    <t>070Ц2S8500</t>
  </si>
  <si>
    <t>Основное мероприятие Обеспечение доступности информации для населения на территории МО "Онгудайский район"</t>
  </si>
  <si>
    <t>Обеспечение доступности информации для населения на территории МО  "Онгудайский район"</t>
  </si>
  <si>
    <t xml:space="preserve">Подпрограмма "Развитие средств массовой информации"муниципальной программы "Развитие экономического потенциала и предпринимательства  МО  "Онгудайский район" </t>
  </si>
  <si>
    <t>0140000000</t>
  </si>
  <si>
    <t>0140100000</t>
  </si>
  <si>
    <t>0140110000</t>
  </si>
  <si>
    <t>0450110000</t>
  </si>
  <si>
    <t>Подготовка и проведение выборов депутатов в представительный орган местного самоуправления</t>
  </si>
  <si>
    <t>9900000500</t>
  </si>
  <si>
    <t>Основное мероприятие Отходы  в муниципальном образовании "Онгудайский район"</t>
  </si>
  <si>
    <t>0420600000</t>
  </si>
  <si>
    <t>Мероприятия по обустройству контейнерных площадок</t>
  </si>
  <si>
    <t>0420620000</t>
  </si>
  <si>
    <t xml:space="preserve">Мероприятия по утилизации отходов в муниципальном образовании "Онгудайский район" </t>
  </si>
  <si>
    <t>0420610000</t>
  </si>
  <si>
    <t>400</t>
  </si>
  <si>
    <t>060К200000</t>
  </si>
  <si>
    <t>060К200100</t>
  </si>
  <si>
    <t>060К200110</t>
  </si>
  <si>
    <t>060К200190</t>
  </si>
  <si>
    <t>060К2S8500</t>
  </si>
  <si>
    <t>Муниципальная программа  «Развитие образования в муниципальном образовании «Онгудайский район»</t>
  </si>
  <si>
    <t>Муниципальная программа" Социальное развитие муниципального образования "Онгудайский район"</t>
  </si>
  <si>
    <t>Непрограммные направления деятельности</t>
  </si>
  <si>
    <t>Муниципальная программа "Развитие экономического потенциала и предпринимательства  муниципального образования "Онгудайский район"</t>
  </si>
  <si>
    <t xml:space="preserve">Муниципальная программа  «Управление муниципальной собственностью и градостроительной деятельностью в муниципальном образовании «Онгудайский район» </t>
  </si>
  <si>
    <t>Основное мероприятие Обеспечение персонифицированного финансирования дополнительного образования детей</t>
  </si>
  <si>
    <t>0720300000</t>
  </si>
  <si>
    <t xml:space="preserve">Персонифицированное финансирование дополнительного образования детей  в   в сфере физической культуры и спорта </t>
  </si>
  <si>
    <t>0720310000</t>
  </si>
  <si>
    <t>Персонифицированное финансирование дополнительного образования детей  в центрах детского творчества</t>
  </si>
  <si>
    <t>0720320000</t>
  </si>
  <si>
    <t>Персонифицированное финансирование дополнительного образования детей  в   области искусства</t>
  </si>
  <si>
    <t>0720330000</t>
  </si>
  <si>
    <t>01401S8500</t>
  </si>
  <si>
    <t>0310140000</t>
  </si>
  <si>
    <t>Прочие межбюджетные трансферты общего характера</t>
  </si>
  <si>
    <t xml:space="preserve"> Основное мероприятие Повышение уровня готовности аварийно-спасательной  службы муниципального образования к реагированию  на возникновение ЧС природного и техногенного характера
</t>
  </si>
  <si>
    <t>0410800000</t>
  </si>
  <si>
    <t>0410810000</t>
  </si>
  <si>
    <t>Реконструкция систем водоснабжения Онгудайского района Республики Алтай</t>
  </si>
  <si>
    <t>0420410000</t>
  </si>
  <si>
    <t>Основное мероприятие Реализация мероприятий, направленных на развитие образования</t>
  </si>
  <si>
    <t>0710200000</t>
  </si>
  <si>
    <t>Капитальные вложения  на реконструкцию и строительство образовательных учреждений  расположенных  в сельской местности</t>
  </si>
  <si>
    <t>0710210000</t>
  </si>
  <si>
    <t>Повышение уровня готовности аварийно-спасательной службы муниципального образования к реагированию на возникновение ЧС природного и техногенного характера</t>
  </si>
  <si>
    <t>Муниципальная программа "Управление муниципальными финансами в муниципальном образовании "Онгудайский район"</t>
  </si>
  <si>
    <t xml:space="preserve">Обеспечивающая подпрограмма "Повышение эффективности управления в Администрации МО "Онгудайский район" муниципальной программы "Развитие экономического потенциала и предпринимательства муниципального образования "Онгудайский район" </t>
  </si>
  <si>
    <t xml:space="preserve">Подпрограмма  " Градостроительная деятельность"муниципальной программы  «Управление муниципальной собственностью и градостроительной деятельностью в муниципальном образовании «Онгудайский район» </t>
  </si>
  <si>
    <t xml:space="preserve">Основное мероприятие Повышение качества управления и распоряжения муниципальным имуществом </t>
  </si>
  <si>
    <t xml:space="preserve">Мероприятия в рамках основного мероприятия Повышение качества управления и распоряжения муниципальным имуществом </t>
  </si>
  <si>
    <t>Мероприятия в рамках основного мероприятия "Территориальное планирование  в муниципальном образовании "Онгудайский район""</t>
  </si>
  <si>
    <t>Обеспечивающая подпрограмма "Повышение эффективности   управления  в Отделе образования"  муниципальной программы" «Развитие образования в муниципальном образовании «Онгудайский район»</t>
  </si>
  <si>
    <t>Основное мероприятие:Материально-техническое обеспечение управления в Отделе образования  МО "Онгудайский район"</t>
  </si>
  <si>
    <t>Расходы на выплаты по оплате труда работников  Управления Управления финансов Онгудайского района</t>
  </si>
  <si>
    <t>Основное мероприятие:Обеспечение деятельности  Управления финансов Онгудайского района</t>
  </si>
  <si>
    <t>Расходы на обеспечение функций     Управления финансов Онгудайского района</t>
  </si>
  <si>
    <t>Дотация на выравнивание уровня бюджетной обеспеченности   поселений, выделяемая бюджетом  муниципального образования</t>
  </si>
  <si>
    <t>Муниципальная программа "Управление муниципальными финансами в муниципальном  образовании "Онгудайский район"</t>
  </si>
  <si>
    <t xml:space="preserve">Обеспечивающая подпрограмма  Материально – техническое обеспечение МКУ  "По обеспечению деятельности администрации и отдел капитального строительства муниципального образования "Онгудайский район" муниципальной программы «Управление муниципальной собственностью и градостроительной деятельностью в муниципальном образовании «Онгудайский район» </t>
  </si>
  <si>
    <t xml:space="preserve">Основное мероприятие Развитие культурно-досуговой деятельности в муниципальном образовании "Онгудайский район" </t>
  </si>
  <si>
    <t xml:space="preserve"> Расширение спектра культурно-досуговых услуг </t>
  </si>
  <si>
    <t xml:space="preserve">Предоставление библиотечных услуг </t>
  </si>
  <si>
    <t xml:space="preserve">Обеспечивающая подпрограмма «Повышение эффективности  управления в Отделе культуры, спорта и молодежной политики администрации МО «Онгудайский район» муниципальной программы " Социальное развитие муниципального образования  «Онгудайский район» 
</t>
  </si>
  <si>
    <t>Обеспечивающая подпрогрмма "Обеспечение деятельности  МКУ "По обеспечению деятельности Отдела культуры, спорта и молодежной политики администрации района (аймака) и подведомственных ему учреждений"</t>
  </si>
  <si>
    <t>Основное мероприятие: Материально-техническое обеспечение МКУ "По обеспечению деятельности Отдела культуры, спорта и молодежной политики администрации района (аймака) и подведомственных ему учреждений"</t>
  </si>
  <si>
    <t>Расходы на выплаты по оплате труда  МКУ "По обеспечению деятельности Отдела культуры, спорта и молодежной политики администрации района (аймака) и подведомственных ему учреждений"</t>
  </si>
  <si>
    <t>Расходы на обеспечение функций МКУ "По обеспечению деятельности Отдела культуры, спорта и молодежной политики администрации района (аймака) и подведомственных ему учреждений"</t>
  </si>
  <si>
    <t>Проведение мероприятий в рамках основного мероприятия "Развитие физической культуры, спорта  и формирование здорового образа жизни в муниципальном образовании "Онгудайский район"</t>
  </si>
  <si>
    <t xml:space="preserve">Основное мероприятие:Материально – техническое обеспечение МКУ  "По обеспечению деятельности администрации и отдела капитального строительства муниципального образования "Онгудайский район" </t>
  </si>
  <si>
    <t xml:space="preserve">Расходы на выплаты по оплате труда работников МКУ  "По обеспечению деятельности администрации и  отдела капитального строительства муниципального образования "Онгудайский район" </t>
  </si>
  <si>
    <t xml:space="preserve">Расходы на обеспечение функций  МКУ  "По обеспечению деятельности администрации и  отдела капитального строительства муниципального образования "Онгудайский район" </t>
  </si>
  <si>
    <t>Администpация района (аймака) муниципального обpазования "Онгудайский pайон"</t>
  </si>
  <si>
    <t>Проведение работ в рамках  основного мероприятия "Ремонт гидротехнических сооружений"</t>
  </si>
  <si>
    <t>Управление финансов администрации района (аймака) муниципального образования "Онгудайский район"</t>
  </si>
  <si>
    <t>Отдел культуры, спорта и молодежной политики администрации района (аймака) муниципального образования "Онгудайский район"</t>
  </si>
  <si>
    <t>Расходы на обеспечение функций управления Отдела образования МО  "Онгудайский район"</t>
  </si>
  <si>
    <t>Непрограммная часть</t>
  </si>
  <si>
    <t>9900000900</t>
  </si>
  <si>
    <t>Расходы по уплате иных платежей, по решениям судов, штрафов ( в т.ч. административных)</t>
  </si>
  <si>
    <t>01102L5761</t>
  </si>
  <si>
    <t xml:space="preserve">Прочие межбюджетные трансферты общего характера
</t>
  </si>
  <si>
    <t xml:space="preserve">Субсидии на поддержку развития образовательных  организаций в Республике Алтай, реализующих программы дошкольного образования </t>
  </si>
  <si>
    <t>07101S6200</t>
  </si>
  <si>
    <t>Финансирование расходных обязательств, возникающих при реализации мероприятий, направленных на развитие общего образования</t>
  </si>
  <si>
    <t>07101S4100</t>
  </si>
  <si>
    <t>Мероприятия в целях профилактики и устранения распространения коронавирусной инфекции</t>
  </si>
  <si>
    <t>990000Ш5Ж0</t>
  </si>
  <si>
    <t xml:space="preserve">Реализация мероприятий индивидуальной программы социально-экономического развития Республики Алтай </t>
  </si>
  <si>
    <t>07101100Ж0</t>
  </si>
  <si>
    <t>07101L3042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</si>
  <si>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</si>
  <si>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07101S4600</t>
  </si>
  <si>
    <t>Субсидии на софинансирование мероприятий, направленных на обеспечение горячим питанием учащихся 5 - 11 классов муниципальных общеобразовательных организаций в Республике Алтай из малообеспеченных семей</t>
  </si>
  <si>
    <t>07201100Ж0</t>
  </si>
  <si>
    <t>07201200Ж0</t>
  </si>
  <si>
    <t>070Ц2741Ж0</t>
  </si>
  <si>
    <t>Повышение оплаты труда работников муниципальных учреждений культуры</t>
  </si>
  <si>
    <t>02101S5100</t>
  </si>
  <si>
    <t>02106S5100</t>
  </si>
  <si>
    <t xml:space="preserve">Подпрограмма "Развитие систем социальной поддержки населения" муниципальной программы " Социальное развитие муниципального образования  «Онгудайский район» </t>
  </si>
  <si>
    <t xml:space="preserve">Основное мероприятие Социальная защита населения  в муниципальном образовании "Онгудайский район"
</t>
  </si>
  <si>
    <t>0220151350</t>
  </si>
  <si>
    <t>Разработка проектно-сметной документации, строительство скважин, канализационных коллекторов и котельных</t>
  </si>
  <si>
    <t>Основное мероприятие «Реализация регионального проекта «Культурная среда»</t>
  </si>
  <si>
    <t>072A100000</t>
  </si>
  <si>
    <t>Государственная поддержка отрасли культуры (субсидии на реализацию мероприятии по модернизации муниципальных детских школ искусств но видам искусств )</t>
  </si>
  <si>
    <t>072A155194</t>
  </si>
  <si>
    <t>Государственная поддержка  лучших сельских учреждений культуры</t>
  </si>
  <si>
    <t>Подготовка к отопительному периоду объектов теплоснабжения</t>
  </si>
  <si>
    <t>0420210000</t>
  </si>
  <si>
    <t>0710153032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</si>
  <si>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</si>
  <si>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Обеспечивающая подпрограмма Материально-техническое обеспечение  деятельности МКУ «Центр по обслуживанию деятельности Отдела образования МО «Онгудайский район» и подведомственных ему учреждений» муниципальной программы" «Развитие образования в муниципальном образовании «Онгудайский район»</t>
  </si>
  <si>
    <t>Основное мероприятие:Создание условий для деятельности МКУ  «Центр по обслуживанию деятельности Отдела образования МО «Онгудайский район» и подведомственных ему учреждений»</t>
  </si>
  <si>
    <t>Расходы на выплаты по оплате труда работниковМКУ  «Центр по обслуживанию деятельности Отдела образования МО «Онгудайский район» и подведомственных ему учреждений»</t>
  </si>
  <si>
    <t>Обеспечение  деятельности  МКУ  «Центр по обслуживанию деятельности Отдела образования МО «Онгудайский район» и подведомственных ему учреждений»</t>
  </si>
  <si>
    <t>Расходы на выплаты по оплате труда работников МКУ  «Центр по обслуживанию деятельности Отдела образования МО «Онгудайский район» и подведомственных ему учреждений»за счет  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</si>
  <si>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070А000000</t>
  </si>
  <si>
    <t>070А074100</t>
  </si>
  <si>
    <t>070А074110</t>
  </si>
  <si>
    <t>070А074190</t>
  </si>
  <si>
    <t>070А0S8500</t>
  </si>
  <si>
    <t>030А000000</t>
  </si>
  <si>
    <t>030А092100</t>
  </si>
  <si>
    <t>030А092110</t>
  </si>
  <si>
    <t>030А092190</t>
  </si>
  <si>
    <t>010А000000</t>
  </si>
  <si>
    <t>010А000100</t>
  </si>
  <si>
    <t>010А000110</t>
  </si>
  <si>
    <t>010А000190</t>
  </si>
  <si>
    <t>010А0S8500</t>
  </si>
  <si>
    <t>020А000000</t>
  </si>
  <si>
    <t>020А010100</t>
  </si>
  <si>
    <t>020А010110</t>
  </si>
  <si>
    <t>020А0S8500</t>
  </si>
  <si>
    <t>010А00000</t>
  </si>
  <si>
    <t>04301S22Д0</t>
  </si>
  <si>
    <t>Проведение капитального  ремонта и ремонта автомобильных дорог общего пользования местного значения и искусственных сооружений на них</t>
  </si>
  <si>
    <t>042И6L321G</t>
  </si>
  <si>
    <t>Реализация мероприятий индивидуальной программы социально-экономического развития Республики Алтай</t>
  </si>
  <si>
    <t>042И600000</t>
  </si>
  <si>
    <t>042И700000</t>
  </si>
  <si>
    <t>042И7L321W</t>
  </si>
  <si>
    <t>021А255196</t>
  </si>
  <si>
    <t>Основное мероприятие «Реализация регионального проекта «Творческие люди»</t>
  </si>
  <si>
    <t>021А200000</t>
  </si>
  <si>
    <t xml:space="preserve">Мероприятия в сфере обращения с твердыми коммунальными отходами </t>
  </si>
  <si>
    <t xml:space="preserve">Субвенции на осуществление полномочий по обеспечению жильем отдельных категорий граждан, установленных ФЗ от 12 января 1995 года № 5-ФЗ "О ветеранах" </t>
  </si>
  <si>
    <t>07201S7600</t>
  </si>
  <si>
    <t>07201S7800</t>
  </si>
  <si>
    <t>Финансирование расходных обязательств, направленных на развитие дополнительного образования детей</t>
  </si>
  <si>
    <t>Субсидии на мероприятия, направленые на оплату труда педагогических работников дополнительного образования детей</t>
  </si>
  <si>
    <r>
      <t>990000</t>
    </r>
    <r>
      <rPr>
        <i/>
        <sz val="10"/>
        <rFont val="Times New Roman"/>
        <family val="1"/>
        <charset val="204"/>
      </rPr>
      <t>Ш</t>
    </r>
    <r>
      <rPr>
        <sz val="10"/>
        <rFont val="Times New Roman"/>
        <family val="1"/>
        <charset val="204"/>
      </rPr>
      <t>500</t>
    </r>
  </si>
  <si>
    <t>Субсидии на формирование муниципального специализированного жилищного фонда для обеспечения педагогических работников</t>
  </si>
  <si>
    <t>07101S4700</t>
  </si>
  <si>
    <t>ПОРЯДОК</t>
  </si>
  <si>
    <t>ПРЕДОСТАВЛЕНИЯ СУБСИДИИ ЗА СЧЕТ СРЕДСТВ БЮДЖЕТА МУНИЦИПАЛЬНОГО РАЙОНА НА ФИНАНСОВОЕ ОБЕСПЕЧЕНИЕ (ВОЗМЕЩЕНИЕ) ЗАТРАТ  МИКРОКРЕДИТНОЙ КОМПАНИИ "ФОНД ПОДДЕРЖКИ СУБЪЕКТОВ МАЛОГО И СРЕДНЕГО ПРЕДПРИНИМАТЕЛЬСТВА  МУНИЦИПАЛЬНОГО ОБРАЗОВАНИЯ  "ОНГУДАЙСКИЙ РАЙОН "</t>
  </si>
  <si>
    <t>040К200000</t>
  </si>
  <si>
    <t>040К200110</t>
  </si>
  <si>
    <t>040К200100</t>
  </si>
  <si>
    <t>Обеспечивающая подпрограмма Материально-техническое обеспечение МКУ" ОнгудайВодснаб" муниципальной программы "Развитие систем жизнеобеспечения и повышение безопасности населения муниципального образования "Онгудайский  район"</t>
  </si>
  <si>
    <t>Основное мероприятие: Материально-техническое обеспечение МКУ  "Онгудайводснаб"</t>
  </si>
  <si>
    <t>Расходы на выплаты по оплате труда работников   МКУ "Онгудайводснаб"</t>
  </si>
  <si>
    <t>Расходы на обеспечение функций   МКУ "Онгудайводснаб"</t>
  </si>
  <si>
    <t>040К200190</t>
  </si>
  <si>
    <t>0420270000</t>
  </si>
  <si>
    <t>Предоставление субсидии из бюжета муниципального образования "Онгудайский район"  МУП "ТеплоВодСервис" на оказание финансовой помощи в целях восстановления  платежеспособности</t>
  </si>
  <si>
    <t>02106L519F</t>
  </si>
  <si>
    <t>Государственная поддержка отрасли культуры за счет средств резервного фонда Правительства Российской Федерации (комплектование книжных фондов)</t>
  </si>
  <si>
    <t>Предоставление субсидии за счет средств бюджета муниципального района на финансовое обеспечение (возмещение) затрат Микрокредитной компании «Фонд поддержки субъектов малого и среднего предпринимательства муниципального образования «Онгудайский район»</t>
  </si>
  <si>
    <t>071И90000</t>
  </si>
  <si>
    <t>071И9L321Y</t>
  </si>
  <si>
    <t>Завершение строительства, укомплектование средствами обучения и воспитания, мягким инвентарем образовательных организаций</t>
  </si>
  <si>
    <t>070Ц2S9600</t>
  </si>
  <si>
    <t>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</t>
  </si>
  <si>
    <t>030А0S9600</t>
  </si>
  <si>
    <t>03101S9600</t>
  </si>
  <si>
    <t>060К2S9600</t>
  </si>
  <si>
    <t>040К2S9600</t>
  </si>
  <si>
    <t>020К1S9600</t>
  </si>
  <si>
    <t>07101S1037</t>
  </si>
  <si>
    <t>Обеспечение выполнения требований к антитеррористической защищенности муниципальных образовательных организаций</t>
  </si>
  <si>
    <t>0720210000</t>
  </si>
  <si>
    <t xml:space="preserve">Мероприятия по проведению оздоровительной кампании детей
</t>
  </si>
  <si>
    <t xml:space="preserve">Кассовое исполнение </t>
  </si>
  <si>
    <t>Кассовое исполнение</t>
  </si>
  <si>
    <t>Уточненный план</t>
  </si>
  <si>
    <t>К  решению "Об исполнении  бюджета муниципального образования "Онгудайский район" за  2021 год"</t>
  </si>
  <si>
    <t>Приложение 3</t>
  </si>
  <si>
    <t>Приложение 4</t>
  </si>
  <si>
    <t>Исполнение по ведомственной структуре  расходов бюджета муниципального образования "Онгудайский район"  за  2021 год</t>
  </si>
  <si>
    <t>Исполнение бюджетных ассигнований по разделам, подразделам   классификации расходов  бюджета муниципального образования  "Онгудайский район" за 2021  год</t>
  </si>
  <si>
    <t>000 01 05 02 01 05 0000 610</t>
  </si>
  <si>
    <t>Уменьшение прочих остатков денежных средств бюджетов муниципальных районов</t>
  </si>
  <si>
    <t>000 01 05 02 01 00 0000 610</t>
  </si>
  <si>
    <t>Уменьшение прочих остатков денежных средств бюджетов</t>
  </si>
  <si>
    <t>Уменьшение прочих остатков средств бюджетов</t>
  </si>
  <si>
    <t>000 01 05 02 00 00 0000 600</t>
  </si>
  <si>
    <t>Уменьшение остатков средств бюджетов</t>
  </si>
  <si>
    <t>000 01 05 00 00 00 0000 600</t>
  </si>
  <si>
    <t>Изменение остатков средств на счетах по учету средств бюджетов</t>
  </si>
  <si>
    <t>000 01 00 00 00 00 0000 000</t>
  </si>
  <si>
    <t>Изменение остатков средств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</si>
  <si>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</si>
  <si>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 (погашение бюджетных кредитов на пополнение остатков средств на счетах бюджетов  муниципальных районов, предоставленных за счет средств федерального бюджета)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</si>
  <si>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Федерации, из них: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</si>
  <si>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</si>
  <si>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</si>
  <si>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000 01 03 01 00 05 0000 710</t>
  </si>
  <si>
    <t>Привлечение кредитов от других бюджетов бюджетной системы Российской Федерации бюджетами муниципальных районов в валюте Российской Федерации (получение бюджетных кредитов за счет средств федерального бюджета на пополнение остатков средств на счетах бюджетов  муниципальных районов)</t>
  </si>
  <si>
    <t>Привлечение кредитов от других бюджетов бюджетной системы Российской Федерации бюджетами муниципальных районов в валюте Российской Федерации, из них:</t>
  </si>
  <si>
    <t>000 01 03 01 00 00 0000 700</t>
  </si>
  <si>
    <t>Привлечение бюджетных кредитов от других бюджетов бюджетной системы Российской Федерации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</si>
  <si>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</si>
  <si>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</si>
  <si>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000 01 02 00 00 05 0000 810</t>
  </si>
  <si>
    <t>Погашение  бюджетами муниципальных  районов кредитов  от кредитных организаций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</si>
  <si>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</si>
  <si>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</si>
  <si>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000 01 02 00 00 05 0000 710</t>
  </si>
  <si>
    <t>Привлечение кредитов  от кредитных организаций бюджетами  муниципальных районов в валюте Российской Федерации</t>
  </si>
  <si>
    <t>000 01 02 00 00 00 0000 700</t>
  </si>
  <si>
    <t>Привлечение кредитов от кредитных организаций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</si>
  <si>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</si>
  <si>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</si>
  <si>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000 01 05 00 00 00 0000 000</t>
  </si>
  <si>
    <t>5 01 00 00 00 00 0000 000</t>
  </si>
  <si>
    <t>Погашение бюджетами муниципального района кредитов от кредитных организаций в валюте Российской Федерации</t>
  </si>
  <si>
    <t>4 01 00 00 00 00 0000 000</t>
  </si>
  <si>
    <t>3 01 00 00 00 00 0000 000</t>
  </si>
  <si>
    <t>Получение кредитов от кредитных организаций бюджетами муниципальных районов в валюте Российской Федерации</t>
  </si>
  <si>
    <t>2 01 00 00 00 00 0000 000</t>
  </si>
  <si>
    <t>Получение кредитов от кредитных организаций в валюте Российской Федерации</t>
  </si>
  <si>
    <t>1 01 00 00 00 00 0000 000</t>
  </si>
  <si>
    <t>Источники внутреннего финансирования дефицита бюджета:</t>
  </si>
  <si>
    <t>Дефицит (-), профицит (+) бюджета</t>
  </si>
  <si>
    <t>Код бюджетной классификации</t>
  </si>
  <si>
    <t>Наименование источника</t>
  </si>
  <si>
    <t>(тыс. рублей)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</si>
  <si>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</si>
  <si>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000  2  19  60010  05  0000  150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</si>
  <si>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</si>
  <si>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</si>
  <si>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000  2  18  60010  05  0000  150</t>
  </si>
  <si>
    <t>Доходы бюджетов муниципальных районов от возврата иными организациями остатков субсидий прошлых лет</t>
  </si>
  <si>
    <t>000  2  18  25030  05  0000  150</t>
  </si>
  <si>
    <t>Доходы бюджетов муниципальных районов от возврата автономными учреждениями остатков субсидий прошлых лет</t>
  </si>
  <si>
    <t>000  2  18  05020  05  0000  150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</si>
  <si>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</si>
  <si>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</si>
  <si>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</si>
  <si>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Прочие межбюджетные трансферты, передаваемые бюджетам муниципальных районов</t>
  </si>
  <si>
    <t>092  2  02  49999  05  0000  150</t>
  </si>
  <si>
    <t xml:space="preserve"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документации, строительство скважин, канализационных коллекторов и котельных) (через Министерство регионального развития Республики Алтай) </t>
  </si>
  <si>
    <t>000  2  02  45321  05  0000  150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</si>
  <si>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(через Министерство образования и науки  Республики Алтай)</t>
  </si>
  <si>
    <t>000  2  02  45303  05  0000  150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</si>
  <si>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</si>
  <si>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092  2  19  05000  05  0000  151</t>
  </si>
  <si>
    <t>000  2  19  00000  00  0000  000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</si>
  <si>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</si>
  <si>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092  2  18  05010  05  0000  151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</si>
  <si>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</si>
  <si>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</si>
  <si>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</si>
  <si>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092 2  02  40014  05  0000  150</t>
  </si>
  <si>
    <t>Иные межбюджетные трансферты</t>
  </si>
  <si>
    <t>000  2  02  40000  00  0000  151</t>
  </si>
  <si>
    <t>Субвенции на проведение Всероссийской переписи населения 2020 года (через Министерство экономического развития Республики Алтай)</t>
  </si>
  <si>
    <t>092  2  02  35469  05  0000  150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</si>
  <si>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</si>
  <si>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092  2  02  35118  05  0000  150</t>
  </si>
  <si>
    <t>Субвенции бюджетам на осуществление первичного воинского учета на территориях, где отсутствуют военные комиссариаты</t>
  </si>
  <si>
    <t>092  2  02  35118  00  0000  150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</si>
  <si>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</si>
  <si>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092  2  02  03069  05  0000  151</t>
  </si>
  <si>
    <t>Субвенции бюджетам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</si>
  <si>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000  2  02  03069  00  0000  151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</si>
  <si>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</si>
  <si>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000  2  02  03055  05  0000  151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</si>
  <si>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</si>
  <si>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000  2  02  03055  00  0000  151</t>
  </si>
  <si>
    <t>Субвенции   на   оздоровление   детей   школьного   возраста   до15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</si>
  <si>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092  2  02  03033  05  0000  151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</si>
  <si>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</si>
  <si>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092  2  02  35135  00  0000  150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</si>
  <si>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(через Министерство финансов Республики Алтай)</t>
  </si>
  <si>
    <t>092 2 02 35120 05 0000 150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</si>
  <si>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(через Министерство образования и науки  Республики Алтай)</t>
  </si>
  <si>
    <t>092  2  02  30029  05  0000  150</t>
  </si>
  <si>
    <t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территориальных соглашений, отраслевых (межотраслевых) соглашений и иных соглашений, заключаемых на территориальном уровне социального партнерства (через Министерство труда, социального развития и занятости населения Республики Алтай)</t>
  </si>
  <si>
    <t>(2962)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</si>
  <si>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 (через Министерство экономического развития Республики Алтай)</t>
  </si>
  <si>
    <t>(2949)</t>
  </si>
  <si>
    <t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(через Комитет ветеринарии с Госветинспекцией Республики Алтай)</t>
  </si>
  <si>
    <t>(2942)</t>
  </si>
  <si>
    <t>Субвенции на осуществление отдельных государственных полномочий Республики Алтай по организаии мероприятий при осуществлении деятельности по обращению с  животными без владельцев на территории Республики Алтай (через Комитет ветеринарии с Госветинспекцией Республики Алтай)</t>
  </si>
  <si>
    <t>(2941)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</si>
  <si>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(через Министерство финансов Республики Алтай)</t>
  </si>
  <si>
    <t>2955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</si>
  <si>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 (через Министерство финансов Республики Алтай)</t>
  </si>
  <si>
    <t>(2967)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</si>
  <si>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(через Министерство образования и науки Республики Алтай)</t>
  </si>
  <si>
    <t>(2945)</t>
  </si>
  <si>
    <t xml:space="preserve"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 (через Комитет по делам записи актов гражданского состояния и архивов Республики Алтай) </t>
  </si>
  <si>
    <t>(2940)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</si>
  <si>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 (через Министерство образования и науки  Республики Алтай)</t>
  </si>
  <si>
    <t>(2934)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</si>
  <si>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 (через Министерство труда, социального развития и занятости населения Республики Алтай)</t>
  </si>
  <si>
    <t>(2936)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</si>
  <si>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(через Министерство регионального развития Республики Алтай)</t>
  </si>
  <si>
    <t>(2968)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</si>
  <si>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(через Комитет по тарифам  Республики Алтай)</t>
  </si>
  <si>
    <t>(2969)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</si>
  <si>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(через Министерство финансов Республики Алтай)</t>
  </si>
  <si>
    <t>Субвенции бюджетам муниципальных районов на выполнение передаваемых полномочий субъектов Российской Федерации</t>
  </si>
  <si>
    <t>092  2  02  30024  05  0000  150</t>
  </si>
  <si>
    <t xml:space="preserve">Субвенции местным бюджетам на выполнение передаваемых полномочий субъектов Российской Федерации </t>
  </si>
  <si>
    <t>000  2  02  30024  00  0000  150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</si>
  <si>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</si>
  <si>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</si>
  <si>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</si>
  <si>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</si>
  <si>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ежемесячное денежное вознаграждение за классное руководство</t>
  </si>
  <si>
    <t>092  2  02  03021  05  0000  151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</si>
  <si>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</si>
  <si>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</si>
  <si>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</si>
  <si>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000  2  02  03013  05  0000  151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</si>
  <si>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</si>
  <si>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000  2  02  03013  00  0000  151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</si>
  <si>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</si>
  <si>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000  2  02  03004  05  0000  151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</si>
  <si>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</si>
  <si>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000  2  02  03004  00  0000  151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</si>
  <si>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</si>
  <si>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000  2  02  03002  05  0000  151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</si>
  <si>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</si>
  <si>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</si>
  <si>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</si>
  <si>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</si>
  <si>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</si>
  <si>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</si>
  <si>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 xml:space="preserve">Субвенции бюджетам субъектов Российской Федерации и муниципальных образований </t>
  </si>
  <si>
    <t>092 2  02  30000  00  0000  150</t>
  </si>
  <si>
    <t>Субсидии на обеспечение выполнения требований к антитеррористической защищенности муниципальных образовательных организаций (через Министерство образования и науки Республики Алтай)</t>
  </si>
  <si>
    <t>(2823)</t>
  </si>
  <si>
    <t>Субсидии на формирование муниципального специализированного жилищного фонда для обеспечения педагогических работников(через Министерство образования и науки Республики Алтай)</t>
  </si>
  <si>
    <t>(2821)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</si>
  <si>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 (через Министерство образования и науки Республики Алтай)</t>
  </si>
  <si>
    <t>(2990)</t>
  </si>
  <si>
    <t>Субсидии на поддержку и развитие сферы культуры</t>
  </si>
  <si>
    <t>(2919)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</si>
  <si>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 (через Министерство образования и науки Республики Алтай)</t>
  </si>
  <si>
    <t>(2921)</t>
  </si>
  <si>
    <t>Субсидии на поддержку развития образовательных организаций в Республике Алтай, реализующих программы дошкольного образования (через Министерство образования и науки Республики Алтай)</t>
  </si>
  <si>
    <t>(2982)</t>
  </si>
  <si>
    <t>Субсидии на софинансирование расходных обязательств, возникающих при реализации мероприятий, направленных на развитие общего образования (через Министерство образования и науки Республики Алтай)</t>
  </si>
  <si>
    <t>(2930)</t>
  </si>
  <si>
    <t>Субсидии на повышение оплаты труда работников муниципальных учреждений культуры в Республике Алтай</t>
  </si>
  <si>
    <t>(2922)</t>
  </si>
  <si>
    <t>Субсидии на софинансирование мероприятий, направленных на обеспечение горячим питанием учащихся 5-11 келассов муниципальных общеобразовательных организаций в Республике Алтай из малообеспеченных семей  (через Министерство финансов Республики Алтай)</t>
  </si>
  <si>
    <t>(2951)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</si>
  <si>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 (через Министерство финансов Республики Алтай)</t>
  </si>
  <si>
    <t>(2938)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</si>
  <si>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   (через Министерство регионального развития Республики Алтай)</t>
  </si>
  <si>
    <t>(2975)</t>
  </si>
  <si>
    <t>Субсидии на предоставление ежемесячной надбавки к заработной плате молодым специалистам в муниципальных образовательных организациях  (через Министерство образования и науки Республики Алтай)</t>
  </si>
  <si>
    <t>(2966)</t>
  </si>
  <si>
    <t>Прочие субсидии бюджетам муниципальных районов</t>
  </si>
  <si>
    <t>092  2  02  29999  05  0000  150</t>
  </si>
  <si>
    <t>Прочие субсидии</t>
  </si>
  <si>
    <t>092 2  02  29999  00  0000  150</t>
  </si>
  <si>
    <t>Обеспечениекомплексного развития сельских территорий (субсидии на улучшение жилищных условий граждан, проживающих в сельской местности) (через Министерство сельского хозяйства Республики Алтай)</t>
  </si>
  <si>
    <t>092  2  02  25576  05  0000  150</t>
  </si>
  <si>
    <t xml:space="preserve">Государственная поддержка отрасли культуры (субсидии  на реализацию мероприятий по модернизации  муниципальных детских школ искусств по видам искусств) </t>
  </si>
  <si>
    <t>092  2  02  25519  05  0000  150</t>
  </si>
  <si>
    <t>Государственная поддержка отрасли культуры (субсидии на государственную поддержку лучших сельских учреждений культуры)</t>
  </si>
  <si>
    <t>Государственная поддержка отрасли культуры (субсидии на построенные (реконструированные) капитально отремонтированные культурно-досуговые учреждения в сельской местности) (через Министерство культуры Республики Алтай)</t>
  </si>
  <si>
    <t>Субсидии на государственную поддержку отрасли культуры</t>
  </si>
  <si>
    <t>Реализация мероприятий по обеспечению жильем молодых семей (субсидии) (через Министерство образования и науки  Республики Алтай)</t>
  </si>
  <si>
    <t>092  2  02  25497  05  0000  150</t>
  </si>
  <si>
    <t xml:space="preserve">Субсидия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</si>
  <si>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>092  2  02  25467  05  0000  150</t>
  </si>
  <si>
    <t>Субсидия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(через Министерство образования и науки  Республики Алтай)</t>
  </si>
  <si>
    <t>092  2  02  25304  05  0000  150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</si>
  <si>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 (через Министерство образования и науки  Республики Алтай)</t>
  </si>
  <si>
    <t>092  2  02  25097  05  0000  150</t>
  </si>
  <si>
    <t>Реализация государственных программ субъектов Российской Федерации в области использования и охраны водных объектов (субсидии на капитальный ремонт гидротехнических сооружений, находящихся в муниципальной собственности, и капитальный ремонт и ликвидацию бесхозяйных гидротехнических сооружений) (через Министерство природных ресурсов, экологии и туризма Республики Алтай)</t>
  </si>
  <si>
    <t>092  2  02 25016  05  0000  150</t>
  </si>
  <si>
    <t>Субсидии бюджетам субъектов Российской Федерации и муниципальных образований (межбюджетные субсидии)</t>
  </si>
  <si>
    <t>092  2  02  20000  00  0000  150</t>
  </si>
  <si>
    <t>Прочие дотации бюджетам муниципальных районов</t>
  </si>
  <si>
    <t>092  2  02  01999  05  0000  151</t>
  </si>
  <si>
    <t>Прочие дотации</t>
  </si>
  <si>
    <t>000  2  02  01999  00  0000  151</t>
  </si>
  <si>
    <t>Дотации бюджетам муниципальных районов на поддержку мер по обеспечению сбалансированности бюджетов</t>
  </si>
  <si>
    <t>092  2  02  01003  05  0000  151</t>
  </si>
  <si>
    <t>092  2  02 15002  05  0000  150</t>
  </si>
  <si>
    <t>Дотации бюджетам муниципальных районов на выравнивание бюджетной обеспеченности</t>
  </si>
  <si>
    <t>092  2  02  15001  05  0000  150</t>
  </si>
  <si>
    <t>Дотации бюджетам субъектов Российской Федерации и муниципальных образований</t>
  </si>
  <si>
    <t>092  2  02  10000  00  0000  150</t>
  </si>
  <si>
    <t>БЕЗВОЗМЕЗДНЫЕ ПОСТУПЛЕНИЯ ОТ ДРУГИХ БЮДЖЕТОВ БЮДЖЕТНОЙ СИСТЕМЫ РОССИЙСКОЙ ФЕДЕРАЦИИ</t>
  </si>
  <si>
    <t>092  2  02  00000  00  0000  000</t>
  </si>
  <si>
    <t>БЕЗВОЗМЕЗДНЫЕ ПОСТУПЛЕНИЯ</t>
  </si>
  <si>
    <t>000  2  00  00000  00  0000  000</t>
  </si>
  <si>
    <t>Прочие неналоговые доходы бюджетов муниципальных районов</t>
  </si>
  <si>
    <t>000  1  17  05050  05  0000  180</t>
  </si>
  <si>
    <t>Невыясненные поступления</t>
  </si>
  <si>
    <t>000  1  17  01050  00  0000  180</t>
  </si>
  <si>
    <t>ПРОЧИЕ НЕНАЛОГОВЫЕ ДОХОДЫ</t>
  </si>
  <si>
    <t>000  1  17  00000  00  0000  000</t>
  </si>
  <si>
    <t>ШТРАФЫ, САНКЦИИ, ВОЗМЕЩЕНИЕ УЩЕРБА</t>
  </si>
  <si>
    <t>000  1  16  00000  00  0000  000</t>
  </si>
  <si>
    <t>Платежи, взимаемые организациями муниципальных районов за выполнение определенных функций</t>
  </si>
  <si>
    <t>000  1  15  02050  05  0000  140</t>
  </si>
  <si>
    <t>Платежи, взимаемые государственными и муниципальными организациями за выполнение определенных функций</t>
  </si>
  <si>
    <t>000  1  15  02000  00  0000  140</t>
  </si>
  <si>
    <t>АДМИНИСТРАТИВНЫЕ ПЛАТЕЖИ И СБОРЫ</t>
  </si>
  <si>
    <t>000  1  15  00000  00  0000  000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</si>
  <si>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</si>
  <si>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800  1  14  06025  05  0000 430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</si>
  <si>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</si>
  <si>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800 1  14  06013  05  0000  430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</si>
  <si>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</si>
  <si>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800  1  14  02052  05  0000  410</t>
  </si>
  <si>
    <t>ДОХОДЫ ОТ ПРОДАЖИ МАТЕРИАЛЬНЫХ И НЕМАТЕРИАЛЬНЫХ АКТИВОВ</t>
  </si>
  <si>
    <t>800  1  14  00000  00  0000  000</t>
  </si>
  <si>
    <t>Прочие доходы от компенсации затрат бюджетов муниципальных районов</t>
  </si>
  <si>
    <t>000 1  13  02995  05  0000  130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</si>
  <si>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</si>
  <si>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000 1  13  02065  05  0000  130</t>
  </si>
  <si>
    <t>Прочие доходы от оказания платных услуг (работ) получателями средств бюджетов муниципальных районов</t>
  </si>
  <si>
    <t>000 1  13  01995  05  0000  130</t>
  </si>
  <si>
    <t>ДОХОДЫ ОТ ОКАЗАНИЯ ПЛАТНЫХ УСЛУГ И КОМПЕНСАЦИИ ЗАТРАТ ГОСУДАРСТВА</t>
  </si>
  <si>
    <t>000 1  13  00000  00  0000  000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</si>
  <si>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</si>
  <si>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048  1  12  01070  01  0000  120</t>
  </si>
  <si>
    <t>800  1  13  01995  05  0000  130</t>
  </si>
  <si>
    <t>Прочие доходы от оказания платных услуг (работ)</t>
  </si>
  <si>
    <t>000 1  13  01995  00  0000  130</t>
  </si>
  <si>
    <t>Доходы от оказания платных услуг (работ)</t>
  </si>
  <si>
    <t>000  1  13  01000  00  0000  130</t>
  </si>
  <si>
    <t>ДОХОДЫ ОТ ОКАЗАНИЯ ПЛАТНЫХ УСЛУГ (РАБОТ) И КОМПЕНСАЦИИ ЗАТРАТ ГОСУДАРСТВА</t>
  </si>
  <si>
    <t>000  1  13  00000  00  0000  000</t>
  </si>
  <si>
    <t>Плата за размещение отходов производства и потребления</t>
  </si>
  <si>
    <t>048  1  12  01040  01  0000  120</t>
  </si>
  <si>
    <t>Плата за сбросы загрязняющих веществ в водные объекты</t>
  </si>
  <si>
    <t>048  1  12  01030  01  0000  120</t>
  </si>
  <si>
    <t>Плата за выбросы загрязняющих веществ в атмосферный воздух передвижными объектами</t>
  </si>
  <si>
    <t>048  1  12  01020  01  0000  120</t>
  </si>
  <si>
    <t>Плата за выбросы загрязняющих веществ в атмосферный воздух стационарными объектами</t>
  </si>
  <si>
    <t>048  1  12  01010  01  0000  120</t>
  </si>
  <si>
    <t>ПЛАТЕЖИ ПРИ ПОЛЬЗОВАНИИ ПРИРОДНЫМИ РЕСУРСАМИ</t>
  </si>
  <si>
    <t>048 1  12  00000  00  0000  000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</si>
  <si>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</si>
  <si>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800  1  11  05035  05  0000  120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</si>
  <si>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</si>
  <si>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800  1  11  05025  05  0000  120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</si>
  <si>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</si>
  <si>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800  1  11  05013  05  0000  120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</si>
  <si>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</si>
  <si>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800  1  11  05000  00  0000  120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</si>
  <si>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</si>
  <si>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092  1  11  03050  05  0000  120</t>
  </si>
  <si>
    <t>Проценты, полученные от предоставления бюджетных кредитов внутри страны</t>
  </si>
  <si>
    <t>000  1  11  03000  00  0000  120</t>
  </si>
  <si>
    <t>ДОХОДЫ ОТ ИСПОЛЬЗОВАНИЯ ИМУЩЕСТВА, НАХОДЯЩЕГОСЯ В ГОСУДАРСТВЕННОЙ И МУНИЦИПАЛЬНОЙ СОБСТВЕННОСТИ</t>
  </si>
  <si>
    <t>800  1  11  00000  00  0000  000</t>
  </si>
  <si>
    <t xml:space="preserve"> НЕНАЛОГОВЫЕ ДОХОДЫ</t>
  </si>
  <si>
    <t>Государственная пошлина за выдачу разрешения на установку рекламной конструкции</t>
  </si>
  <si>
    <t>092  1  08  07150  01  1000  110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</si>
  <si>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</si>
  <si>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092  1  08  07084  01  0000  110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</si>
  <si>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</si>
  <si>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182  1  08  03010  01  0000  110</t>
  </si>
  <si>
    <t>ГОСУДАРСТВЕННАЯ ПОШЛИНА</t>
  </si>
  <si>
    <t>000  1  08  00000  00  0000  000</t>
  </si>
  <si>
    <t>Сбор за пользование объектами животного мира</t>
  </si>
  <si>
    <t>182  1  07  04010  01  0000  110</t>
  </si>
  <si>
    <t>Налог на добычу общераспространенных полезных ископаемых</t>
  </si>
  <si>
    <t>182  1  07  01020  01  0000  110</t>
  </si>
  <si>
    <t>НАЛОГИ, СБОРЫ И РЕГУЛЯРНЫЕ ПЛАТЕЖИ ЗА ПОЛЬЗОВАНИЕ ПРИРОДНЫМИ РЕСУРСАМИ</t>
  </si>
  <si>
    <t>182  1  07  00000  00  0000  000</t>
  </si>
  <si>
    <t>Налог на имущество организаций по имуществу, не входящему в Единую систему газоснабжения</t>
  </si>
  <si>
    <t>182  1  06  02010  02  0000  110</t>
  </si>
  <si>
    <t>НАЛОГИ НА ИМУЩЕСТВО</t>
  </si>
  <si>
    <t>182  1  06  00000  00  0000  000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</si>
  <si>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</si>
  <si>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182  1  05  01050  01  0000  110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</si>
  <si>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</si>
  <si>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182  1  05  04020  02  0000  110</t>
  </si>
  <si>
    <t>Единый сельскохозяйственный налог</t>
  </si>
  <si>
    <t>182  1  05  03010  01  0000  110</t>
  </si>
  <si>
    <t>Единый налог на вмененный доход для отдельных видов деятельности</t>
  </si>
  <si>
    <t>182  1  05  02010  02  0000  110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</si>
  <si>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</si>
  <si>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182  1  05  01020  01  0000  110</t>
  </si>
  <si>
    <t>Налог, взимаемый с налогоплательщиков, выбравших в качестве объекта налогообложения  доходы</t>
  </si>
  <si>
    <t>182 1  05  01010  01  0000  110</t>
  </si>
  <si>
    <t>Налог, взимаемый в связи с применением упрощенной системы налогообложения</t>
  </si>
  <si>
    <t>182  1  05  01000  00  0000  110</t>
  </si>
  <si>
    <t>НАЛОГИ НА СОВОКУПНЫЙ ДОХОД</t>
  </si>
  <si>
    <t>182  1  05  00000  00  0000  000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</si>
  <si>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</si>
  <si>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100  1  03  02260  01  0000  110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</si>
  <si>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</si>
  <si>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100  1  03  02250  01  0000  110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</si>
  <si>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</si>
  <si>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100  1  03  02240  01  0000 110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</si>
  <si>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</si>
  <si>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100 1  03  02230  01 0000 110</t>
  </si>
  <si>
    <t>Акцизы по подакцизным товарам (продукции), производимым на территории Российской Федерации</t>
  </si>
  <si>
    <t>100  1  03  02000  01  0000  000</t>
  </si>
  <si>
    <t>НАЛОГИ НА ТОВАРЫ (РАБОТЫ, УСЛУГИ), РЕАЛИЗУЕМЫЕ НА ТЕРРИТОРИИ РОССИЙСКОЙ ФЕДЕРАЦИИ</t>
  </si>
  <si>
    <t>000  1  03  00000  00  0000  000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</si>
  <si>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</si>
  <si>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182  1  01  02080  01  0000  110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</si>
  <si>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</si>
  <si>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182  1  01  02030  01  0000  110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</si>
  <si>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</si>
  <si>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182  1  01  02020  01  0000  110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</si>
  <si>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и 228 Налогового кодекса Российской Федерации</t>
    </r>
  </si>
  <si>
    <t>182  1  01  02010  01  0000  110</t>
  </si>
  <si>
    <t>Налог на доходы физических лиц</t>
  </si>
  <si>
    <t>182  1  01  02000  01  0000  110</t>
  </si>
  <si>
    <t>НАЛОГИ НА ПРИБЫЛЬ, ДОХОДЫ</t>
  </si>
  <si>
    <t>000  1  01  00000  00  0000  000</t>
  </si>
  <si>
    <t>НАЛОГОВЫЕ  ДОХОДЫ</t>
  </si>
  <si>
    <t>НАЛОГОВЫЕ И НЕНАЛОГОВЫЕ ДОХОДЫ</t>
  </si>
  <si>
    <t>000  1  00  00000  00  0000  000</t>
  </si>
  <si>
    <t>Доходы бюджета - Всего</t>
  </si>
  <si>
    <t>000  8  50  00000  00  0000  000</t>
  </si>
  <si>
    <t>Процент исполнения</t>
  </si>
  <si>
    <t xml:space="preserve">Код дохода </t>
  </si>
  <si>
    <t>Приложение 2</t>
  </si>
  <si>
    <t>Приложение 1</t>
  </si>
  <si>
    <t>Исполнение источников финансирования дефицита бюджета муниципального образования "Онгудайский район" по кодам классификации источников финансирования дефицита бюджетов за  2021 год</t>
  </si>
  <si>
    <t xml:space="preserve">Уточненный план </t>
  </si>
  <si>
    <t>Исполнение доходов бюджета муниципального образования "Онгудайский район" по кодам классификации доходов бюджетов  за  2021 год</t>
  </si>
  <si>
    <t xml:space="preserve">Процент  исполнения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</si>
</sst>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0000"/>
    <numFmt numFmtId="167" formatCode="0.000"/>
    <numFmt numFmtId="168" formatCode="0.0"/>
    <numFmt numFmtId="169" formatCode="dd\.mm\.yyyy"/>
    <numFmt numFmtId="170" formatCode="_-* #,##0.00&quot;р.&quot;_-;\-* #,##0.00&quot;р.&quot;_-;_-* &quot;-&quot;??&quot;р.&quot;_-;_-@_-"/>
    <numFmt numFmtId="171" formatCode="_(* #,##0.00_);_(* \(#,##0.00\);_(* &quot;-&quot;??_);_(@_)"/>
    <numFmt numFmtId="172" formatCode="#,##0.0"/>
    <numFmt numFmtId="173" formatCode="_-* #,##0.0_р_._-;\-* #,##0.0_р_._-;_-* &quot;-&quot;??_р_._-;_-@_-"/>
    <numFmt numFmtId="174" formatCode="_-* #,##0.0\ _₽_-;\-* #,##0.0\ _₽_-;_-* &quot;-&quot;?\ _₽_-;_-@_-"/>
    <numFmt numFmtId="175" formatCode="_-* #,##0.00000\ _₽_-;\-* #,##0.00000\ _₽_-;_-* &quot;-&quot;?????\ _₽_-;_-@_-"/>
    <numFmt numFmtId="176" formatCode="_-* #,##0.00000_р_._-;\-* #,##0.00000_р_._-;_-* &quot;-&quot;??_р_._-;_-@_-"/>
    <numFmt numFmtId="177" formatCode="_-* #,##0.00\ _₽_-;\-* #,##0.00\ _₽_-;_-* &quot;-&quot;?\ _₽_-;_-@_-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Arial Cyr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1"/>
    </font>
    <font>
      <u/>
      <sz val="11"/>
      <color theme="10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</font>
    <font>
      <sz val="9"/>
      <color rgb="FF000000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</font>
    <font>
      <sz val="8"/>
      <color indexed="8"/>
      <name val="Arial"/>
      <family val="2"/>
      <charset val="204"/>
    </font>
    <font>
      <sz val="11"/>
      <color theme="1"/>
      <name val="Segoe UI"/>
      <family val="2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CCCC"/>
      </patternFill>
    </fill>
    <fill>
      <patternFill patternType="solid">
        <fgColor rgb="FFCCCCCC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49">
    <xf numFmtId="0" fontId="0" fillId="0" borderId="0"/>
    <xf numFmtId="0" fontId="9" fillId="0" borderId="0"/>
    <xf numFmtId="0" fontId="7" fillId="0" borderId="0"/>
    <xf numFmtId="0" fontId="11" fillId="0" borderId="0"/>
    <xf numFmtId="0" fontId="9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165" fontId="14" fillId="0" borderId="0" applyFon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7" fillId="0" borderId="0"/>
    <xf numFmtId="0" fontId="19" fillId="0" borderId="0"/>
    <xf numFmtId="0" fontId="9" fillId="0" borderId="0" applyNumberFormat="0" applyFont="0" applyFill="0" applyBorder="0" applyAlignment="0" applyProtection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20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8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9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8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44" fontId="8" fillId="0" borderId="0" applyFont="0" applyFill="0" applyBorder="0" applyAlignment="0" applyProtection="0"/>
    <xf numFmtId="0" fontId="25" fillId="0" borderId="0"/>
    <xf numFmtId="0" fontId="29" fillId="0" borderId="0">
      <alignment horizontal="left"/>
    </xf>
    <xf numFmtId="0" fontId="25" fillId="0" borderId="0"/>
    <xf numFmtId="0" fontId="29" fillId="0" borderId="0">
      <alignment horizontal="left"/>
    </xf>
    <xf numFmtId="0" fontId="29" fillId="0" borderId="0"/>
    <xf numFmtId="0" fontId="9" fillId="0" borderId="0"/>
    <xf numFmtId="0" fontId="29" fillId="0" borderId="0"/>
    <xf numFmtId="0" fontId="9" fillId="0" borderId="0"/>
    <xf numFmtId="0" fontId="25" fillId="0" borderId="0"/>
    <xf numFmtId="0" fontId="29" fillId="0" borderId="0">
      <alignment horizontal="left"/>
    </xf>
    <xf numFmtId="49" fontId="30" fillId="0" borderId="0">
      <alignment horizontal="center"/>
    </xf>
    <xf numFmtId="49" fontId="31" fillId="0" borderId="8"/>
    <xf numFmtId="49" fontId="30" fillId="0" borderId="9">
      <alignment horizontal="center" wrapText="1"/>
    </xf>
    <xf numFmtId="4" fontId="31" fillId="0" borderId="10">
      <alignment horizontal="right"/>
    </xf>
    <xf numFmtId="49" fontId="30" fillId="0" borderId="11">
      <alignment horizontal="center" wrapText="1"/>
    </xf>
    <xf numFmtId="4" fontId="31" fillId="0" borderId="11">
      <alignment horizontal="right"/>
    </xf>
    <xf numFmtId="49" fontId="30" fillId="0" borderId="10">
      <alignment horizontal="center"/>
    </xf>
    <xf numFmtId="49" fontId="31" fillId="0" borderId="0">
      <alignment horizontal="right"/>
    </xf>
    <xf numFmtId="49" fontId="30" fillId="0" borderId="8"/>
    <xf numFmtId="0" fontId="31" fillId="0" borderId="8"/>
    <xf numFmtId="4" fontId="30" fillId="0" borderId="10">
      <alignment horizontal="right"/>
    </xf>
    <xf numFmtId="4" fontId="31" fillId="0" borderId="12">
      <alignment horizontal="right"/>
    </xf>
    <xf numFmtId="4" fontId="30" fillId="0" borderId="9">
      <alignment horizontal="right"/>
    </xf>
    <xf numFmtId="49" fontId="31" fillId="0" borderId="13">
      <alignment horizontal="center"/>
    </xf>
    <xf numFmtId="49" fontId="30" fillId="0" borderId="0">
      <alignment horizontal="right"/>
    </xf>
    <xf numFmtId="4" fontId="31" fillId="0" borderId="14">
      <alignment horizontal="right"/>
    </xf>
    <xf numFmtId="4" fontId="30" fillId="0" borderId="12">
      <alignment horizontal="right"/>
    </xf>
    <xf numFmtId="0" fontId="32" fillId="0" borderId="0">
      <alignment horizontal="center"/>
    </xf>
    <xf numFmtId="49" fontId="30" fillId="0" borderId="13">
      <alignment horizontal="center"/>
    </xf>
    <xf numFmtId="0" fontId="32" fillId="0" borderId="8"/>
    <xf numFmtId="4" fontId="30" fillId="0" borderId="15">
      <alignment horizontal="right"/>
    </xf>
    <xf numFmtId="0" fontId="31" fillId="0" borderId="16">
      <alignment horizontal="left" wrapText="1"/>
    </xf>
    <xf numFmtId="0" fontId="30" fillId="0" borderId="17">
      <alignment horizontal="left" wrapText="1"/>
    </xf>
    <xf numFmtId="0" fontId="31" fillId="0" borderId="18">
      <alignment horizontal="left" wrapText="1" indent="1"/>
    </xf>
    <xf numFmtId="0" fontId="33" fillId="0" borderId="19">
      <alignment horizontal="left" wrapText="1"/>
    </xf>
    <xf numFmtId="0" fontId="31" fillId="0" borderId="16">
      <alignment horizontal="left" wrapText="1" indent="2"/>
    </xf>
    <xf numFmtId="0" fontId="30" fillId="0" borderId="20">
      <alignment horizontal="left" wrapText="1" indent="2"/>
    </xf>
    <xf numFmtId="0" fontId="31" fillId="0" borderId="21">
      <alignment horizontal="left" wrapText="1" indent="2"/>
    </xf>
    <xf numFmtId="0" fontId="29" fillId="0" borderId="22"/>
    <xf numFmtId="0" fontId="26" fillId="0" borderId="8">
      <alignment wrapText="1"/>
    </xf>
    <xf numFmtId="0" fontId="30" fillId="0" borderId="8"/>
    <xf numFmtId="0" fontId="26" fillId="0" borderId="23">
      <alignment wrapText="1"/>
    </xf>
    <xf numFmtId="0" fontId="29" fillId="0" borderId="8"/>
    <xf numFmtId="0" fontId="26" fillId="0" borderId="22">
      <alignment wrapText="1"/>
    </xf>
    <xf numFmtId="0" fontId="33" fillId="0" borderId="0">
      <alignment horizontal="center"/>
    </xf>
    <xf numFmtId="0" fontId="31" fillId="0" borderId="0">
      <alignment horizontal="center" wrapText="1"/>
    </xf>
    <xf numFmtId="0" fontId="33" fillId="0" borderId="8"/>
    <xf numFmtId="49" fontId="31" fillId="0" borderId="8">
      <alignment horizontal="left"/>
    </xf>
    <xf numFmtId="0" fontId="30" fillId="0" borderId="16">
      <alignment horizontal="left" wrapText="1"/>
    </xf>
    <xf numFmtId="49" fontId="31" fillId="0" borderId="24">
      <alignment horizontal="center" wrapText="1"/>
    </xf>
    <xf numFmtId="0" fontId="30" fillId="0" borderId="18">
      <alignment horizontal="left" wrapText="1" indent="1"/>
    </xf>
    <xf numFmtId="49" fontId="31" fillId="0" borderId="24">
      <alignment horizontal="left" wrapText="1"/>
    </xf>
    <xf numFmtId="0" fontId="30" fillId="0" borderId="16">
      <alignment horizontal="left" wrapText="1" indent="2"/>
    </xf>
    <xf numFmtId="49" fontId="31" fillId="0" borderId="24">
      <alignment horizontal="center" shrinkToFit="1"/>
    </xf>
    <xf numFmtId="0" fontId="29" fillId="3" borderId="25"/>
    <xf numFmtId="49" fontId="31" fillId="0" borderId="8">
      <alignment horizontal="center"/>
    </xf>
    <xf numFmtId="0" fontId="30" fillId="0" borderId="21">
      <alignment horizontal="left" wrapText="1" indent="2"/>
    </xf>
    <xf numFmtId="0" fontId="31" fillId="0" borderId="22">
      <alignment horizontal="center"/>
    </xf>
    <xf numFmtId="0" fontId="30" fillId="0" borderId="0">
      <alignment horizontal="center" wrapText="1"/>
    </xf>
    <xf numFmtId="0" fontId="31" fillId="0" borderId="0">
      <alignment horizontal="center"/>
    </xf>
    <xf numFmtId="49" fontId="30" fillId="0" borderId="8">
      <alignment horizontal="left"/>
    </xf>
    <xf numFmtId="49" fontId="31" fillId="0" borderId="8"/>
    <xf numFmtId="49" fontId="30" fillId="0" borderId="24">
      <alignment horizontal="center" wrapText="1"/>
    </xf>
    <xf numFmtId="49" fontId="31" fillId="0" borderId="10">
      <alignment horizontal="center" shrinkToFit="1"/>
    </xf>
    <xf numFmtId="49" fontId="30" fillId="0" borderId="24">
      <alignment horizontal="center" shrinkToFit="1"/>
    </xf>
    <xf numFmtId="0" fontId="31" fillId="0" borderId="22"/>
    <xf numFmtId="49" fontId="30" fillId="0" borderId="10">
      <alignment horizontal="center" shrinkToFit="1"/>
    </xf>
    <xf numFmtId="0" fontId="31" fillId="0" borderId="8">
      <alignment horizontal="center"/>
    </xf>
    <xf numFmtId="0" fontId="30" fillId="0" borderId="26">
      <alignment horizontal="left" wrapText="1"/>
    </xf>
    <xf numFmtId="49" fontId="31" fillId="0" borderId="22">
      <alignment horizontal="center"/>
    </xf>
    <xf numFmtId="0" fontId="30" fillId="0" borderId="17">
      <alignment horizontal="left" wrapText="1" indent="1"/>
    </xf>
    <xf numFmtId="49" fontId="31" fillId="0" borderId="0">
      <alignment horizontal="left"/>
    </xf>
    <xf numFmtId="0" fontId="30" fillId="0" borderId="26">
      <alignment horizontal="left" wrapText="1" indent="2"/>
    </xf>
    <xf numFmtId="0" fontId="9" fillId="0" borderId="8"/>
    <xf numFmtId="0" fontId="30" fillId="0" borderId="17">
      <alignment horizontal="left" wrapText="1" indent="2"/>
    </xf>
    <xf numFmtId="0" fontId="9" fillId="0" borderId="22"/>
    <xf numFmtId="0" fontId="29" fillId="0" borderId="27"/>
    <xf numFmtId="49" fontId="31" fillId="0" borderId="12">
      <alignment horizontal="center"/>
    </xf>
    <xf numFmtId="0" fontId="29" fillId="0" borderId="28"/>
    <xf numFmtId="0" fontId="32" fillId="0" borderId="29">
      <alignment horizontal="center" vertical="center" textRotation="90" wrapText="1"/>
    </xf>
    <xf numFmtId="0" fontId="33" fillId="0" borderId="29">
      <alignment horizontal="center" vertical="center" textRotation="90" wrapText="1"/>
    </xf>
    <xf numFmtId="0" fontId="32" fillId="0" borderId="22">
      <alignment horizontal="center" vertical="center" textRotation="90" wrapText="1"/>
    </xf>
    <xf numFmtId="0" fontId="33" fillId="0" borderId="22">
      <alignment horizontal="center" vertical="center" textRotation="90" wrapText="1"/>
    </xf>
    <xf numFmtId="0" fontId="31" fillId="0" borderId="0">
      <alignment vertical="center"/>
    </xf>
    <xf numFmtId="0" fontId="30" fillId="0" borderId="0">
      <alignment vertical="center"/>
    </xf>
    <xf numFmtId="0" fontId="32" fillId="0" borderId="29">
      <alignment horizontal="center" vertical="center" textRotation="90"/>
    </xf>
    <xf numFmtId="0" fontId="33" fillId="0" borderId="8">
      <alignment horizontal="center" vertical="center" textRotation="90" wrapText="1"/>
    </xf>
    <xf numFmtId="49" fontId="31" fillId="0" borderId="23">
      <alignment horizontal="center" vertical="center" wrapText="1"/>
    </xf>
    <xf numFmtId="0" fontId="33" fillId="0" borderId="22">
      <alignment horizontal="center" vertical="center" textRotation="90"/>
    </xf>
    <xf numFmtId="0" fontId="32" fillId="0" borderId="30"/>
    <xf numFmtId="0" fontId="33" fillId="0" borderId="8">
      <alignment horizontal="center" vertical="center" textRotation="90"/>
    </xf>
    <xf numFmtId="49" fontId="34" fillId="0" borderId="31">
      <alignment horizontal="left" vertical="center" wrapText="1"/>
    </xf>
    <xf numFmtId="0" fontId="33" fillId="0" borderId="29">
      <alignment horizontal="center" vertical="center" textRotation="90"/>
    </xf>
    <xf numFmtId="49" fontId="31" fillId="0" borderId="32">
      <alignment horizontal="left" vertical="center" wrapText="1" indent="2"/>
    </xf>
    <xf numFmtId="0" fontId="33" fillId="0" borderId="23">
      <alignment horizontal="center" vertical="center" textRotation="90"/>
    </xf>
    <xf numFmtId="49" fontId="31" fillId="0" borderId="21">
      <alignment horizontal="left" vertical="center" wrapText="1" indent="3"/>
    </xf>
    <xf numFmtId="0" fontId="35" fillId="0" borderId="8">
      <alignment wrapText="1"/>
    </xf>
    <xf numFmtId="49" fontId="31" fillId="0" borderId="31">
      <alignment horizontal="left" vertical="center" wrapText="1" indent="3"/>
    </xf>
    <xf numFmtId="0" fontId="35" fillId="0" borderId="23">
      <alignment wrapText="1"/>
    </xf>
    <xf numFmtId="49" fontId="31" fillId="0" borderId="33">
      <alignment horizontal="left" vertical="center" wrapText="1" indent="3"/>
    </xf>
    <xf numFmtId="0" fontId="35" fillId="0" borderId="22">
      <alignment wrapText="1"/>
    </xf>
    <xf numFmtId="0" fontId="34" fillId="0" borderId="30">
      <alignment horizontal="left" vertical="center" wrapText="1"/>
    </xf>
    <xf numFmtId="0" fontId="30" fillId="0" borderId="23">
      <alignment horizontal="center" vertical="top" wrapText="1"/>
    </xf>
    <xf numFmtId="49" fontId="31" fillId="0" borderId="22">
      <alignment horizontal="left" vertical="center" wrapText="1" indent="3"/>
    </xf>
    <xf numFmtId="0" fontId="33" fillId="0" borderId="30"/>
    <xf numFmtId="49" fontId="31" fillId="0" borderId="0">
      <alignment horizontal="left" vertical="center" wrapText="1" indent="3"/>
    </xf>
    <xf numFmtId="49" fontId="36" fillId="0" borderId="31">
      <alignment horizontal="left" vertical="center" wrapText="1"/>
    </xf>
    <xf numFmtId="49" fontId="31" fillId="0" borderId="8">
      <alignment horizontal="left" vertical="center" wrapText="1" indent="3"/>
    </xf>
    <xf numFmtId="49" fontId="30" fillId="0" borderId="32">
      <alignment horizontal="left" vertical="center" wrapText="1" indent="2"/>
    </xf>
    <xf numFmtId="49" fontId="34" fillId="0" borderId="30">
      <alignment horizontal="left" vertical="center" wrapText="1"/>
    </xf>
    <xf numFmtId="49" fontId="30" fillId="0" borderId="21">
      <alignment horizontal="left" vertical="center" wrapText="1" indent="3"/>
    </xf>
    <xf numFmtId="49" fontId="31" fillId="0" borderId="34">
      <alignment horizontal="center" vertical="center" wrapText="1"/>
    </xf>
    <xf numFmtId="49" fontId="30" fillId="0" borderId="31">
      <alignment horizontal="left" vertical="center" wrapText="1" indent="3"/>
    </xf>
    <xf numFmtId="49" fontId="32" fillId="0" borderId="35">
      <alignment horizontal="center"/>
    </xf>
    <xf numFmtId="49" fontId="30" fillId="0" borderId="33">
      <alignment horizontal="left" vertical="center" wrapText="1" indent="3"/>
    </xf>
    <xf numFmtId="49" fontId="32" fillId="0" borderId="36">
      <alignment horizontal="center" vertical="center" wrapText="1"/>
    </xf>
    <xf numFmtId="0" fontId="36" fillId="0" borderId="30">
      <alignment horizontal="left" vertical="center" wrapText="1"/>
    </xf>
    <xf numFmtId="49" fontId="31" fillId="0" borderId="37">
      <alignment horizontal="center" vertical="center" wrapText="1"/>
    </xf>
    <xf numFmtId="49" fontId="30" fillId="0" borderId="22">
      <alignment horizontal="left" vertical="center" wrapText="1" indent="3"/>
    </xf>
    <xf numFmtId="49" fontId="31" fillId="0" borderId="24">
      <alignment horizontal="center" vertical="center" wrapText="1"/>
    </xf>
    <xf numFmtId="49" fontId="30" fillId="0" borderId="0">
      <alignment horizontal="left" vertical="center" wrapText="1" indent="3"/>
    </xf>
    <xf numFmtId="49" fontId="31" fillId="0" borderId="36">
      <alignment horizontal="center" vertical="center" wrapText="1"/>
    </xf>
    <xf numFmtId="49" fontId="30" fillId="0" borderId="8">
      <alignment horizontal="left" vertical="center" wrapText="1" indent="3"/>
    </xf>
    <xf numFmtId="49" fontId="31" fillId="0" borderId="38">
      <alignment horizontal="center" vertical="center" wrapText="1"/>
    </xf>
    <xf numFmtId="49" fontId="36" fillId="0" borderId="30">
      <alignment horizontal="left" vertical="center" wrapText="1"/>
    </xf>
    <xf numFmtId="49" fontId="31" fillId="0" borderId="39">
      <alignment horizontal="center" vertical="center" wrapText="1"/>
    </xf>
    <xf numFmtId="0" fontId="30" fillId="0" borderId="31">
      <alignment horizontal="left" vertical="center" wrapText="1"/>
    </xf>
    <xf numFmtId="49" fontId="31" fillId="0" borderId="0">
      <alignment horizontal="center" vertical="center" wrapText="1"/>
    </xf>
    <xf numFmtId="0" fontId="30" fillId="0" borderId="33">
      <alignment horizontal="left" vertical="center" wrapText="1"/>
    </xf>
    <xf numFmtId="49" fontId="31" fillId="0" borderId="8">
      <alignment horizontal="center" vertical="center" wrapText="1"/>
    </xf>
    <xf numFmtId="49" fontId="30" fillId="0" borderId="31">
      <alignment horizontal="left" vertical="center" wrapText="1"/>
    </xf>
    <xf numFmtId="49" fontId="32" fillId="0" borderId="35">
      <alignment horizontal="center" vertical="center" wrapText="1"/>
    </xf>
    <xf numFmtId="49" fontId="30" fillId="0" borderId="33">
      <alignment horizontal="left" vertical="center" wrapText="1"/>
    </xf>
    <xf numFmtId="0" fontId="31" fillId="0" borderId="23">
      <alignment horizontal="center" vertical="top"/>
    </xf>
    <xf numFmtId="49" fontId="33" fillId="0" borderId="35">
      <alignment horizontal="center"/>
    </xf>
    <xf numFmtId="49" fontId="31" fillId="0" borderId="23">
      <alignment horizontal="center" vertical="top" wrapText="1"/>
    </xf>
    <xf numFmtId="49" fontId="33" fillId="0" borderId="36">
      <alignment horizontal="center" vertical="center" wrapText="1"/>
    </xf>
    <xf numFmtId="4" fontId="31" fillId="0" borderId="9">
      <alignment horizontal="right"/>
    </xf>
    <xf numFmtId="49" fontId="30" fillId="0" borderId="37">
      <alignment horizontal="center" vertical="center" wrapText="1"/>
    </xf>
    <xf numFmtId="0" fontId="31" fillId="0" borderId="27"/>
    <xf numFmtId="49" fontId="30" fillId="0" borderId="24">
      <alignment horizontal="center" vertical="center" wrapText="1"/>
    </xf>
    <xf numFmtId="4" fontId="31" fillId="0" borderId="34">
      <alignment horizontal="right"/>
    </xf>
    <xf numFmtId="49" fontId="30" fillId="0" borderId="36">
      <alignment horizontal="center" vertical="center" wrapText="1"/>
    </xf>
    <xf numFmtId="4" fontId="31" fillId="0" borderId="39">
      <alignment horizontal="right" shrinkToFit="1"/>
    </xf>
    <xf numFmtId="49" fontId="30" fillId="0" borderId="38">
      <alignment horizontal="center" vertical="center" wrapText="1"/>
    </xf>
    <xf numFmtId="4" fontId="31" fillId="0" borderId="0">
      <alignment horizontal="right" shrinkToFit="1"/>
    </xf>
    <xf numFmtId="49" fontId="30" fillId="0" borderId="39">
      <alignment horizontal="center" vertical="center" wrapText="1"/>
    </xf>
    <xf numFmtId="0" fontId="32" fillId="0" borderId="23">
      <alignment horizontal="center" vertical="top"/>
    </xf>
    <xf numFmtId="49" fontId="30" fillId="0" borderId="0">
      <alignment horizontal="center" vertical="center" wrapText="1"/>
    </xf>
    <xf numFmtId="0" fontId="31" fillId="0" borderId="23">
      <alignment horizontal="center" vertical="top" wrapText="1"/>
    </xf>
    <xf numFmtId="49" fontId="30" fillId="0" borderId="8">
      <alignment horizontal="center" vertical="center" wrapText="1"/>
    </xf>
    <xf numFmtId="0" fontId="31" fillId="0" borderId="23">
      <alignment horizontal="center" vertical="top"/>
    </xf>
    <xf numFmtId="49" fontId="33" fillId="0" borderId="35">
      <alignment horizontal="center" vertical="center" wrapText="1"/>
    </xf>
    <xf numFmtId="4" fontId="31" fillId="0" borderId="15">
      <alignment horizontal="right"/>
    </xf>
    <xf numFmtId="0" fontId="33" fillId="0" borderId="35">
      <alignment horizontal="center" vertical="center"/>
    </xf>
    <xf numFmtId="0" fontId="31" fillId="0" borderId="28"/>
    <xf numFmtId="0" fontId="30" fillId="0" borderId="37">
      <alignment horizontal="center" vertical="center"/>
    </xf>
    <xf numFmtId="4" fontId="31" fillId="0" borderId="40">
      <alignment horizontal="right"/>
    </xf>
    <xf numFmtId="0" fontId="30" fillId="0" borderId="24">
      <alignment horizontal="center" vertical="center"/>
    </xf>
    <xf numFmtId="0" fontId="31" fillId="0" borderId="8">
      <alignment horizontal="right"/>
    </xf>
    <xf numFmtId="0" fontId="30" fillId="0" borderId="36">
      <alignment horizontal="center" vertical="center"/>
    </xf>
    <xf numFmtId="0" fontId="32" fillId="0" borderId="23">
      <alignment horizontal="center" vertical="top"/>
    </xf>
    <xf numFmtId="0" fontId="33" fillId="0" borderId="36">
      <alignment horizontal="center" vertical="center"/>
    </xf>
    <xf numFmtId="0" fontId="30" fillId="0" borderId="38">
      <alignment horizontal="center" vertical="center"/>
    </xf>
    <xf numFmtId="49" fontId="33" fillId="0" borderId="35">
      <alignment horizontal="center" vertical="center"/>
    </xf>
    <xf numFmtId="49" fontId="30" fillId="0" borderId="37">
      <alignment horizontal="center" vertical="center"/>
    </xf>
    <xf numFmtId="49" fontId="30" fillId="0" borderId="24">
      <alignment horizontal="center" vertical="center"/>
    </xf>
    <xf numFmtId="49" fontId="30" fillId="0" borderId="36">
      <alignment horizontal="center" vertical="center"/>
    </xf>
    <xf numFmtId="49" fontId="30" fillId="0" borderId="38">
      <alignment horizontal="center" vertical="center"/>
    </xf>
    <xf numFmtId="49" fontId="30" fillId="0" borderId="8">
      <alignment horizontal="center"/>
    </xf>
    <xf numFmtId="0" fontId="30" fillId="0" borderId="22">
      <alignment horizontal="center"/>
    </xf>
    <xf numFmtId="0" fontId="30" fillId="0" borderId="0">
      <alignment horizontal="center"/>
    </xf>
    <xf numFmtId="49" fontId="30" fillId="0" borderId="8"/>
    <xf numFmtId="0" fontId="30" fillId="0" borderId="23">
      <alignment horizontal="center" vertical="top"/>
    </xf>
    <xf numFmtId="49" fontId="30" fillId="0" borderId="23">
      <alignment horizontal="center" vertical="top" wrapText="1"/>
    </xf>
    <xf numFmtId="0" fontId="30" fillId="0" borderId="27"/>
    <xf numFmtId="4" fontId="30" fillId="0" borderId="34">
      <alignment horizontal="right"/>
    </xf>
    <xf numFmtId="4" fontId="30" fillId="0" borderId="39">
      <alignment horizontal="right"/>
    </xf>
    <xf numFmtId="4" fontId="30" fillId="0" borderId="0">
      <alignment horizontal="right" shrinkToFit="1"/>
    </xf>
    <xf numFmtId="4" fontId="30" fillId="0" borderId="8">
      <alignment horizontal="right"/>
    </xf>
    <xf numFmtId="0" fontId="30" fillId="0" borderId="22"/>
    <xf numFmtId="0" fontId="30" fillId="0" borderId="23">
      <alignment horizontal="center" vertical="top" wrapText="1"/>
    </xf>
    <xf numFmtId="0" fontId="30" fillId="0" borderId="8">
      <alignment horizontal="center"/>
    </xf>
    <xf numFmtId="49" fontId="30" fillId="0" borderId="22">
      <alignment horizontal="center"/>
    </xf>
    <xf numFmtId="49" fontId="30" fillId="0" borderId="0">
      <alignment horizontal="left"/>
    </xf>
    <xf numFmtId="4" fontId="30" fillId="0" borderId="27">
      <alignment horizontal="right"/>
    </xf>
    <xf numFmtId="0" fontId="30" fillId="0" borderId="23">
      <alignment horizontal="center" vertical="top"/>
    </xf>
    <xf numFmtId="4" fontId="30" fillId="0" borderId="28">
      <alignment horizontal="right"/>
    </xf>
    <xf numFmtId="4" fontId="30" fillId="0" borderId="40">
      <alignment horizontal="right"/>
    </xf>
    <xf numFmtId="0" fontId="30" fillId="0" borderId="28"/>
    <xf numFmtId="0" fontId="37" fillId="0" borderId="41"/>
    <xf numFmtId="0" fontId="29" fillId="3" borderId="0"/>
    <xf numFmtId="0" fontId="9" fillId="4" borderId="0"/>
    <xf numFmtId="0" fontId="33" fillId="0" borderId="0"/>
    <xf numFmtId="0" fontId="32" fillId="0" borderId="0"/>
    <xf numFmtId="0" fontId="38" fillId="0" borderId="0"/>
    <xf numFmtId="0" fontId="39" fillId="0" borderId="0"/>
    <xf numFmtId="0" fontId="30" fillId="0" borderId="0">
      <alignment horizontal="left"/>
    </xf>
    <xf numFmtId="0" fontId="31" fillId="0" borderId="0">
      <alignment horizontal="left"/>
    </xf>
    <xf numFmtId="0" fontId="30" fillId="0" borderId="0"/>
    <xf numFmtId="0" fontId="31" fillId="0" borderId="0"/>
    <xf numFmtId="0" fontId="37" fillId="0" borderId="0"/>
    <xf numFmtId="0" fontId="40" fillId="0" borderId="0"/>
    <xf numFmtId="0" fontId="29" fillId="0" borderId="0"/>
    <xf numFmtId="0" fontId="9" fillId="4" borderId="8"/>
    <xf numFmtId="49" fontId="41" fillId="5" borderId="23">
      <alignment horizontal="left" wrapText="1"/>
    </xf>
    <xf numFmtId="0" fontId="31" fillId="0" borderId="29">
      <alignment horizontal="center" vertical="top" wrapText="1"/>
    </xf>
    <xf numFmtId="49" fontId="30" fillId="0" borderId="23">
      <alignment horizontal="center" vertical="center" wrapText="1"/>
    </xf>
    <xf numFmtId="0" fontId="31" fillId="0" borderId="29">
      <alignment horizontal="center" vertical="center"/>
    </xf>
    <xf numFmtId="49" fontId="30" fillId="0" borderId="23">
      <alignment horizontal="center" vertical="center" wrapText="1"/>
    </xf>
    <xf numFmtId="0" fontId="9" fillId="4" borderId="42"/>
    <xf numFmtId="0" fontId="29" fillId="3" borderId="42"/>
    <xf numFmtId="0" fontId="31" fillId="0" borderId="43">
      <alignment horizontal="left" wrapText="1"/>
    </xf>
    <xf numFmtId="0" fontId="30" fillId="0" borderId="43">
      <alignment horizontal="left" wrapText="1"/>
    </xf>
    <xf numFmtId="0" fontId="31" fillId="0" borderId="16">
      <alignment horizontal="left" wrapText="1" indent="1"/>
    </xf>
    <xf numFmtId="0" fontId="30" fillId="0" borderId="16">
      <alignment horizontal="left" wrapText="1" indent="1"/>
    </xf>
    <xf numFmtId="0" fontId="31" fillId="0" borderId="30">
      <alignment horizontal="left" wrapText="1" indent="2"/>
    </xf>
    <xf numFmtId="0" fontId="30" fillId="0" borderId="13">
      <alignment horizontal="left" wrapText="1" indent="2"/>
    </xf>
    <xf numFmtId="0" fontId="9" fillId="4" borderId="25"/>
    <xf numFmtId="0" fontId="29" fillId="3" borderId="22"/>
    <xf numFmtId="0" fontId="42" fillId="0" borderId="0">
      <alignment horizontal="center" wrapText="1"/>
    </xf>
    <xf numFmtId="0" fontId="43" fillId="0" borderId="0">
      <alignment horizontal="center" wrapText="1"/>
    </xf>
    <xf numFmtId="0" fontId="44" fillId="0" borderId="0">
      <alignment horizontal="center" vertical="top"/>
    </xf>
    <xf numFmtId="0" fontId="45" fillId="0" borderId="0">
      <alignment horizontal="center" vertical="top"/>
    </xf>
    <xf numFmtId="0" fontId="31" fillId="0" borderId="8">
      <alignment wrapText="1"/>
    </xf>
    <xf numFmtId="0" fontId="30" fillId="0" borderId="8">
      <alignment wrapText="1"/>
    </xf>
    <xf numFmtId="0" fontId="31" fillId="0" borderId="42">
      <alignment wrapText="1"/>
    </xf>
    <xf numFmtId="0" fontId="30" fillId="0" borderId="42">
      <alignment wrapText="1"/>
    </xf>
    <xf numFmtId="0" fontId="31" fillId="0" borderId="22">
      <alignment horizontal="left"/>
    </xf>
    <xf numFmtId="0" fontId="30" fillId="0" borderId="22">
      <alignment horizontal="left"/>
    </xf>
    <xf numFmtId="0" fontId="31" fillId="0" borderId="23">
      <alignment horizontal="center" vertical="top" wrapText="1"/>
    </xf>
    <xf numFmtId="0" fontId="29" fillId="3" borderId="44"/>
    <xf numFmtId="0" fontId="31" fillId="0" borderId="34">
      <alignment horizontal="center" vertical="center"/>
    </xf>
    <xf numFmtId="49" fontId="30" fillId="0" borderId="35">
      <alignment horizontal="center" wrapText="1"/>
    </xf>
    <xf numFmtId="0" fontId="9" fillId="4" borderId="45"/>
    <xf numFmtId="49" fontId="30" fillId="0" borderId="37">
      <alignment horizontal="center" wrapText="1"/>
    </xf>
    <xf numFmtId="49" fontId="31" fillId="0" borderId="35">
      <alignment horizontal="center" wrapText="1"/>
    </xf>
    <xf numFmtId="49" fontId="30" fillId="0" borderId="36">
      <alignment horizontal="center"/>
    </xf>
    <xf numFmtId="49" fontId="31" fillId="0" borderId="37">
      <alignment horizontal="center" wrapText="1"/>
    </xf>
    <xf numFmtId="0" fontId="29" fillId="3" borderId="46"/>
    <xf numFmtId="49" fontId="31" fillId="0" borderId="36">
      <alignment horizontal="center"/>
    </xf>
    <xf numFmtId="0" fontId="30" fillId="0" borderId="39"/>
    <xf numFmtId="0" fontId="9" fillId="4" borderId="22"/>
    <xf numFmtId="0" fontId="30" fillId="0" borderId="0">
      <alignment horizontal="center"/>
    </xf>
    <xf numFmtId="0" fontId="9" fillId="4" borderId="46"/>
    <xf numFmtId="49" fontId="30" fillId="0" borderId="22"/>
    <xf numFmtId="0" fontId="31" fillId="0" borderId="39"/>
    <xf numFmtId="49" fontId="30" fillId="0" borderId="0"/>
    <xf numFmtId="0" fontId="31" fillId="0" borderId="0">
      <alignment horizontal="center"/>
    </xf>
    <xf numFmtId="49" fontId="30" fillId="0" borderId="9">
      <alignment horizontal="center"/>
    </xf>
    <xf numFmtId="49" fontId="31" fillId="0" borderId="22"/>
    <xf numFmtId="49" fontId="30" fillId="0" borderId="27">
      <alignment horizontal="center"/>
    </xf>
    <xf numFmtId="49" fontId="31" fillId="0" borderId="0"/>
    <xf numFmtId="49" fontId="30" fillId="0" borderId="23">
      <alignment horizontal="center"/>
    </xf>
    <xf numFmtId="0" fontId="31" fillId="0" borderId="23">
      <alignment horizontal="center" vertical="center"/>
    </xf>
    <xf numFmtId="49" fontId="30" fillId="0" borderId="23">
      <alignment horizontal="center" vertical="center" wrapText="1"/>
    </xf>
    <xf numFmtId="0" fontId="9" fillId="4" borderId="44"/>
    <xf numFmtId="49" fontId="30" fillId="0" borderId="34">
      <alignment horizontal="center" vertical="center" wrapText="1"/>
    </xf>
    <xf numFmtId="49" fontId="31" fillId="0" borderId="9">
      <alignment horizontal="center"/>
    </xf>
    <xf numFmtId="0" fontId="29" fillId="3" borderId="47"/>
    <xf numFmtId="49" fontId="31" fillId="0" borderId="27">
      <alignment horizontal="center"/>
    </xf>
    <xf numFmtId="4" fontId="30" fillId="0" borderId="23">
      <alignment horizontal="right"/>
    </xf>
    <xf numFmtId="49" fontId="31" fillId="0" borderId="23">
      <alignment horizontal="center"/>
    </xf>
    <xf numFmtId="0" fontId="30" fillId="5" borderId="39"/>
    <xf numFmtId="49" fontId="31" fillId="0" borderId="23">
      <alignment horizontal="center" vertical="top" wrapText="1"/>
    </xf>
    <xf numFmtId="0" fontId="30" fillId="5" borderId="0"/>
    <xf numFmtId="49" fontId="31" fillId="0" borderId="23">
      <alignment horizontal="center" vertical="top" wrapText="1"/>
    </xf>
    <xf numFmtId="0" fontId="43" fillId="0" borderId="0">
      <alignment horizontal="center" wrapText="1"/>
    </xf>
    <xf numFmtId="0" fontId="9" fillId="4" borderId="47"/>
    <xf numFmtId="0" fontId="46" fillId="0" borderId="48"/>
    <xf numFmtId="4" fontId="31" fillId="0" borderId="23">
      <alignment horizontal="right"/>
    </xf>
    <xf numFmtId="49" fontId="47" fillId="0" borderId="49">
      <alignment horizontal="right"/>
    </xf>
    <xf numFmtId="0" fontId="31" fillId="6" borderId="39"/>
    <xf numFmtId="0" fontId="30" fillId="0" borderId="49">
      <alignment horizontal="right"/>
    </xf>
    <xf numFmtId="49" fontId="31" fillId="0" borderId="50">
      <alignment horizontal="center" vertical="top"/>
    </xf>
    <xf numFmtId="0" fontId="46" fillId="0" borderId="8"/>
    <xf numFmtId="49" fontId="9" fillId="0" borderId="0"/>
    <xf numFmtId="0" fontId="30" fillId="0" borderId="34">
      <alignment horizontal="center"/>
    </xf>
    <xf numFmtId="0" fontId="31" fillId="0" borderId="0">
      <alignment horizontal="right"/>
    </xf>
    <xf numFmtId="49" fontId="29" fillId="0" borderId="51">
      <alignment horizontal="center"/>
    </xf>
    <xf numFmtId="49" fontId="31" fillId="0" borderId="0">
      <alignment horizontal="right"/>
    </xf>
    <xf numFmtId="169" fontId="30" fillId="0" borderId="19">
      <alignment horizontal="center"/>
    </xf>
    <xf numFmtId="0" fontId="48" fillId="0" borderId="0"/>
    <xf numFmtId="0" fontId="30" fillId="0" borderId="52">
      <alignment horizontal="center"/>
    </xf>
    <xf numFmtId="0" fontId="48" fillId="0" borderId="48"/>
    <xf numFmtId="49" fontId="30" fillId="0" borderId="20">
      <alignment horizontal="center"/>
    </xf>
    <xf numFmtId="49" fontId="49" fillId="0" borderId="49">
      <alignment horizontal="right"/>
    </xf>
    <xf numFmtId="49" fontId="30" fillId="0" borderId="19">
      <alignment horizontal="center"/>
    </xf>
    <xf numFmtId="0" fontId="31" fillId="0" borderId="49">
      <alignment horizontal="right"/>
    </xf>
    <xf numFmtId="0" fontId="30" fillId="0" borderId="19">
      <alignment horizontal="center"/>
    </xf>
    <xf numFmtId="0" fontId="48" fillId="0" borderId="8"/>
    <xf numFmtId="49" fontId="30" fillId="0" borderId="53">
      <alignment horizontal="center"/>
    </xf>
    <xf numFmtId="0" fontId="31" fillId="0" borderId="34">
      <alignment horizontal="center"/>
    </xf>
    <xf numFmtId="0" fontId="37" fillId="0" borderId="39"/>
    <xf numFmtId="49" fontId="9" fillId="0" borderId="51">
      <alignment horizontal="center"/>
    </xf>
    <xf numFmtId="0" fontId="46" fillId="0" borderId="0"/>
    <xf numFmtId="14" fontId="31" fillId="0" borderId="19">
      <alignment horizontal="center"/>
    </xf>
    <xf numFmtId="0" fontId="29" fillId="0" borderId="54"/>
    <xf numFmtId="0" fontId="31" fillId="0" borderId="52">
      <alignment horizontal="center"/>
    </xf>
    <xf numFmtId="0" fontId="29" fillId="0" borderId="41"/>
    <xf numFmtId="49" fontId="31" fillId="0" borderId="20">
      <alignment horizontal="center"/>
    </xf>
    <xf numFmtId="4" fontId="30" fillId="0" borderId="13">
      <alignment horizontal="right"/>
    </xf>
    <xf numFmtId="49" fontId="31" fillId="0" borderId="19">
      <alignment horizontal="center"/>
    </xf>
    <xf numFmtId="49" fontId="30" fillId="0" borderId="28">
      <alignment horizontal="center"/>
    </xf>
    <xf numFmtId="0" fontId="31" fillId="0" borderId="19">
      <alignment horizontal="center"/>
    </xf>
    <xf numFmtId="0" fontId="30" fillId="0" borderId="55">
      <alignment horizontal="left" wrapText="1"/>
    </xf>
    <xf numFmtId="49" fontId="31" fillId="0" borderId="53">
      <alignment horizontal="center"/>
    </xf>
    <xf numFmtId="0" fontId="30" fillId="0" borderId="26">
      <alignment horizontal="left" wrapText="1" indent="1"/>
    </xf>
    <xf numFmtId="0" fontId="40" fillId="0" borderId="39"/>
    <xf numFmtId="0" fontId="30" fillId="0" borderId="19">
      <alignment horizontal="left" wrapText="1" indent="2"/>
    </xf>
    <xf numFmtId="49" fontId="31" fillId="0" borderId="50">
      <alignment horizontal="center" vertical="top" wrapText="1"/>
    </xf>
    <xf numFmtId="0" fontId="29" fillId="3" borderId="56"/>
    <xf numFmtId="0" fontId="31" fillId="0" borderId="57">
      <alignment horizontal="center" vertical="center"/>
    </xf>
    <xf numFmtId="0" fontId="30" fillId="5" borderId="25"/>
    <xf numFmtId="4" fontId="31" fillId="0" borderId="13">
      <alignment horizontal="right"/>
    </xf>
    <xf numFmtId="0" fontId="43" fillId="0" borderId="0">
      <alignment horizontal="left" wrapText="1"/>
    </xf>
    <xf numFmtId="49" fontId="31" fillId="0" borderId="28">
      <alignment horizontal="center"/>
    </xf>
    <xf numFmtId="49" fontId="29" fillId="0" borderId="0"/>
    <xf numFmtId="0" fontId="31" fillId="0" borderId="0">
      <alignment horizontal="left" wrapText="1"/>
    </xf>
    <xf numFmtId="0" fontId="30" fillId="0" borderId="0">
      <alignment horizontal="right"/>
    </xf>
    <xf numFmtId="0" fontId="31" fillId="0" borderId="8">
      <alignment horizontal="left"/>
    </xf>
    <xf numFmtId="49" fontId="30" fillId="0" borderId="0">
      <alignment horizontal="right"/>
    </xf>
    <xf numFmtId="0" fontId="31" fillId="0" borderId="18">
      <alignment horizontal="left" wrapText="1"/>
    </xf>
    <xf numFmtId="0" fontId="30" fillId="0" borderId="0">
      <alignment horizontal="left" wrapText="1"/>
    </xf>
    <xf numFmtId="0" fontId="31" fillId="0" borderId="42"/>
    <xf numFmtId="0" fontId="30" fillId="0" borderId="8">
      <alignment horizontal="left"/>
    </xf>
    <xf numFmtId="0" fontId="32" fillId="0" borderId="58">
      <alignment horizontal="left" wrapText="1"/>
    </xf>
    <xf numFmtId="0" fontId="30" fillId="0" borderId="18">
      <alignment horizontal="left" wrapText="1"/>
    </xf>
    <xf numFmtId="0" fontId="31" fillId="0" borderId="12">
      <alignment horizontal="left" wrapText="1" indent="2"/>
    </xf>
    <xf numFmtId="0" fontId="30" fillId="0" borderId="42"/>
    <xf numFmtId="49" fontId="31" fillId="0" borderId="0">
      <alignment horizontal="center" wrapText="1"/>
    </xf>
    <xf numFmtId="0" fontId="33" fillId="0" borderId="58">
      <alignment horizontal="left" wrapText="1"/>
    </xf>
    <xf numFmtId="49" fontId="31" fillId="0" borderId="36">
      <alignment horizontal="center" wrapText="1"/>
    </xf>
    <xf numFmtId="0" fontId="30" fillId="0" borderId="12">
      <alignment horizontal="left" wrapText="1" indent="2"/>
    </xf>
    <xf numFmtId="0" fontId="31" fillId="0" borderId="45"/>
    <xf numFmtId="49" fontId="30" fillId="0" borderId="0">
      <alignment horizontal="center" wrapText="1"/>
    </xf>
    <xf numFmtId="0" fontId="31" fillId="0" borderId="59">
      <alignment horizontal="center" wrapText="1"/>
    </xf>
    <xf numFmtId="49" fontId="30" fillId="0" borderId="36">
      <alignment horizontal="center" wrapText="1"/>
    </xf>
    <xf numFmtId="0" fontId="9" fillId="4" borderId="39"/>
    <xf numFmtId="0" fontId="30" fillId="0" borderId="45"/>
    <xf numFmtId="49" fontId="31" fillId="0" borderId="24">
      <alignment horizontal="center"/>
    </xf>
    <xf numFmtId="0" fontId="30" fillId="0" borderId="59">
      <alignment horizontal="center" wrapText="1"/>
    </xf>
    <xf numFmtId="49" fontId="31" fillId="0" borderId="0">
      <alignment horizontal="center"/>
    </xf>
    <xf numFmtId="0" fontId="29" fillId="3" borderId="39"/>
    <xf numFmtId="49" fontId="31" fillId="0" borderId="10">
      <alignment horizontal="center" wrapText="1"/>
    </xf>
    <xf numFmtId="49" fontId="30" fillId="0" borderId="24">
      <alignment horizontal="center"/>
    </xf>
    <xf numFmtId="49" fontId="31" fillId="0" borderId="11">
      <alignment horizontal="center" wrapText="1"/>
    </xf>
    <xf numFmtId="0" fontId="29" fillId="0" borderId="39"/>
    <xf numFmtId="49" fontId="31" fillId="0" borderId="10">
      <alignment horizontal="center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20" fillId="0" borderId="0">
      <alignment vertical="top"/>
    </xf>
    <xf numFmtId="0" fontId="1" fillId="0" borderId="0"/>
    <xf numFmtId="0" fontId="5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8" fillId="0" borderId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09">
    <xf numFmtId="0" fontId="0" fillId="0" borderId="0" xfId="0"/>
    <xf numFmtId="49" fontId="10" fillId="0" borderId="1" xfId="1" applyNumberFormat="1" applyFont="1" applyFill="1" applyBorder="1" applyAlignment="1">
      <alignment horizontal="left"/>
    </xf>
    <xf numFmtId="0" fontId="13" fillId="0" borderId="1" xfId="1" applyFont="1" applyFill="1" applyBorder="1" applyAlignment="1">
      <alignment horizontal="left" wrapText="1"/>
    </xf>
    <xf numFmtId="49" fontId="12" fillId="0" borderId="1" xfId="1" applyNumberFormat="1" applyFont="1" applyFill="1" applyBorder="1" applyAlignment="1">
      <alignment horizontal="left"/>
    </xf>
    <xf numFmtId="0" fontId="10" fillId="0" borderId="1" xfId="5" applyFont="1" applyFill="1" applyBorder="1" applyAlignment="1">
      <alignment horizontal="left" wrapText="1"/>
    </xf>
    <xf numFmtId="0" fontId="13" fillId="0" borderId="1" xfId="1" applyFont="1" applyFill="1" applyBorder="1" applyAlignment="1">
      <alignment horizontal="left" vertical="top" wrapText="1"/>
    </xf>
    <xf numFmtId="0" fontId="0" fillId="0" borderId="0" xfId="0" applyBorder="1" applyAlignment="1"/>
    <xf numFmtId="0" fontId="10" fillId="0" borderId="0" xfId="5" applyFont="1"/>
    <xf numFmtId="0" fontId="11" fillId="0" borderId="0" xfId="0" applyFont="1"/>
    <xf numFmtId="0" fontId="21" fillId="0" borderId="0" xfId="0" applyFont="1"/>
    <xf numFmtId="49" fontId="12" fillId="0" borderId="1" xfId="5" applyNumberFormat="1" applyFont="1" applyFill="1" applyBorder="1" applyAlignment="1">
      <alignment horizontal="center"/>
    </xf>
    <xf numFmtId="0" fontId="12" fillId="0" borderId="1" xfId="5" applyFont="1" applyBorder="1" applyAlignment="1">
      <alignment wrapText="1"/>
    </xf>
    <xf numFmtId="49" fontId="10" fillId="0" borderId="1" xfId="5" applyNumberFormat="1" applyFont="1" applyFill="1" applyBorder="1" applyAlignment="1">
      <alignment horizontal="center"/>
    </xf>
    <xf numFmtId="49" fontId="10" fillId="0" borderId="2" xfId="5" applyNumberFormat="1" applyFont="1" applyFill="1" applyBorder="1" applyAlignment="1">
      <alignment horizontal="center"/>
    </xf>
    <xf numFmtId="0" fontId="10" fillId="0" borderId="1" xfId="5" applyFont="1" applyBorder="1" applyAlignment="1">
      <alignment wrapText="1"/>
    </xf>
    <xf numFmtId="49" fontId="10" fillId="0" borderId="5" xfId="5" applyNumberFormat="1" applyFont="1" applyFill="1" applyBorder="1" applyAlignment="1">
      <alignment horizontal="center"/>
    </xf>
    <xf numFmtId="0" fontId="10" fillId="0" borderId="1" xfId="9" applyFont="1" applyFill="1" applyBorder="1" applyAlignment="1">
      <alignment horizontal="justify" vertical="top" wrapText="1" shrinkToFit="1"/>
    </xf>
    <xf numFmtId="0" fontId="10" fillId="0" borderId="0" xfId="5" applyFont="1" applyBorder="1"/>
    <xf numFmtId="0" fontId="10" fillId="0" borderId="0" xfId="1" applyFont="1" applyFill="1"/>
    <xf numFmtId="0" fontId="13" fillId="0" borderId="0" xfId="1" applyFont="1" applyFill="1"/>
    <xf numFmtId="167" fontId="10" fillId="0" borderId="0" xfId="1" applyNumberFormat="1" applyFont="1" applyFill="1" applyBorder="1"/>
    <xf numFmtId="2" fontId="10" fillId="0" borderId="0" xfId="1" applyNumberFormat="1" applyFont="1" applyFill="1" applyAlignment="1"/>
    <xf numFmtId="2" fontId="10" fillId="0" borderId="0" xfId="1" applyNumberFormat="1" applyFont="1" applyFill="1" applyBorder="1"/>
    <xf numFmtId="1" fontId="10" fillId="0" borderId="0" xfId="1" applyNumberFormat="1" applyFont="1" applyFill="1" applyBorder="1"/>
    <xf numFmtId="0" fontId="23" fillId="0" borderId="1" xfId="1" applyFont="1" applyFill="1" applyBorder="1" applyAlignment="1">
      <alignment horizontal="left"/>
    </xf>
    <xf numFmtId="0" fontId="12" fillId="0" borderId="0" xfId="1" applyFont="1" applyFill="1"/>
    <xf numFmtId="0" fontId="15" fillId="0" borderId="0" xfId="1" applyFont="1" applyFill="1" applyAlignment="1">
      <alignment horizontal="center" vertical="center"/>
    </xf>
    <xf numFmtId="1" fontId="15" fillId="0" borderId="1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left"/>
    </xf>
    <xf numFmtId="167" fontId="10" fillId="0" borderId="0" xfId="1" applyNumberFormat="1" applyFont="1" applyFill="1" applyAlignment="1">
      <alignment wrapText="1"/>
    </xf>
    <xf numFmtId="167" fontId="10" fillId="0" borderId="0" xfId="1" applyNumberFormat="1" applyFont="1" applyFill="1" applyAlignment="1">
      <alignment horizontal="left" vertical="top"/>
    </xf>
    <xf numFmtId="0" fontId="13" fillId="0" borderId="0" xfId="1" applyFont="1" applyFill="1" applyAlignment="1">
      <alignment horizontal="left"/>
    </xf>
    <xf numFmtId="166" fontId="10" fillId="0" borderId="0" xfId="18" applyNumberFormat="1" applyFont="1" applyFill="1" applyAlignment="1">
      <alignment horizontal="left"/>
    </xf>
    <xf numFmtId="0" fontId="23" fillId="0" borderId="1" xfId="1" applyFont="1" applyFill="1" applyBorder="1" applyAlignment="1">
      <alignment horizontal="left" wrapText="1"/>
    </xf>
    <xf numFmtId="49" fontId="12" fillId="0" borderId="2" xfId="5" applyNumberFormat="1" applyFont="1" applyFill="1" applyBorder="1" applyAlignment="1">
      <alignment horizontal="center"/>
    </xf>
    <xf numFmtId="166" fontId="12" fillId="0" borderId="1" xfId="1" applyNumberFormat="1" applyFont="1" applyFill="1" applyBorder="1" applyAlignment="1">
      <alignment horizontal="right"/>
    </xf>
    <xf numFmtId="0" fontId="23" fillId="0" borderId="0" xfId="1" applyFont="1" applyFill="1"/>
    <xf numFmtId="49" fontId="10" fillId="0" borderId="1" xfId="1" applyNumberFormat="1" applyFont="1" applyFill="1" applyBorder="1"/>
    <xf numFmtId="0" fontId="10" fillId="0" borderId="1" xfId="1" applyFont="1" applyFill="1" applyBorder="1"/>
    <xf numFmtId="49" fontId="12" fillId="0" borderId="1" xfId="1" applyNumberFormat="1" applyFont="1" applyFill="1" applyBorder="1"/>
    <xf numFmtId="0" fontId="12" fillId="0" borderId="1" xfId="1" applyFont="1" applyFill="1" applyBorder="1"/>
    <xf numFmtId="0" fontId="13" fillId="0" borderId="1" xfId="1" applyFont="1" applyFill="1" applyBorder="1" applyAlignment="1">
      <alignment horizontal="left" vertical="center" wrapText="1"/>
    </xf>
    <xf numFmtId="0" fontId="23" fillId="0" borderId="1" xfId="1" applyFont="1" applyFill="1" applyBorder="1" applyAlignment="1">
      <alignment horizontal="left" vertical="top" wrapText="1"/>
    </xf>
    <xf numFmtId="167" fontId="10" fillId="0" borderId="0" xfId="1" applyNumberFormat="1" applyFont="1" applyFill="1"/>
    <xf numFmtId="49" fontId="10" fillId="0" borderId="2" xfId="5" applyNumberFormat="1" applyFont="1" applyFill="1" applyBorder="1" applyAlignment="1">
      <alignment horizontal="center" vertical="center"/>
    </xf>
    <xf numFmtId="49" fontId="10" fillId="0" borderId="1" xfId="5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5" applyFont="1" applyAlignment="1">
      <alignment horizontal="left"/>
    </xf>
    <xf numFmtId="0" fontId="10" fillId="0" borderId="0" xfId="5" applyFont="1" applyAlignment="1"/>
    <xf numFmtId="49" fontId="13" fillId="0" borderId="1" xfId="1" applyNumberFormat="1" applyFont="1" applyFill="1" applyBorder="1" applyAlignment="1">
      <alignment horizontal="left" wrapText="1"/>
    </xf>
    <xf numFmtId="166" fontId="25" fillId="0" borderId="0" xfId="0" applyNumberFormat="1" applyFont="1" applyFill="1" applyAlignment="1">
      <alignment horizontal="left" wrapText="1"/>
    </xf>
    <xf numFmtId="166" fontId="0" fillId="0" borderId="0" xfId="0" applyNumberFormat="1" applyFill="1"/>
    <xf numFmtId="44" fontId="13" fillId="0" borderId="1" xfId="147" applyFont="1" applyFill="1" applyBorder="1" applyAlignment="1">
      <alignment horizontal="left" wrapText="1"/>
    </xf>
    <xf numFmtId="44" fontId="10" fillId="0" borderId="1" xfId="147" applyFont="1" applyFill="1" applyBorder="1" applyAlignment="1">
      <alignment horizontal="left"/>
    </xf>
    <xf numFmtId="44" fontId="10" fillId="0" borderId="0" xfId="147" applyFont="1" applyFill="1"/>
    <xf numFmtId="49" fontId="12" fillId="0" borderId="2" xfId="5" applyNumberFormat="1" applyFont="1" applyFill="1" applyBorder="1" applyAlignment="1">
      <alignment horizontal="center"/>
    </xf>
    <xf numFmtId="166" fontId="10" fillId="0" borderId="1" xfId="1" applyNumberFormat="1" applyFont="1" applyFill="1" applyBorder="1" applyAlignment="1">
      <alignment horizontal="right"/>
    </xf>
    <xf numFmtId="166" fontId="10" fillId="0" borderId="0" xfId="1" applyNumberFormat="1" applyFont="1" applyFill="1"/>
    <xf numFmtId="166" fontId="10" fillId="0" borderId="0" xfId="1" applyNumberFormat="1" applyFont="1" applyFill="1" applyAlignment="1">
      <alignment horizontal="right"/>
    </xf>
    <xf numFmtId="166" fontId="26" fillId="0" borderId="1" xfId="1" applyNumberFormat="1" applyFont="1" applyFill="1" applyBorder="1" applyAlignment="1">
      <alignment horizontal="right"/>
    </xf>
    <xf numFmtId="49" fontId="12" fillId="0" borderId="2" xfId="5" applyNumberFormat="1" applyFont="1" applyFill="1" applyBorder="1" applyAlignment="1">
      <alignment horizontal="center"/>
    </xf>
    <xf numFmtId="168" fontId="12" fillId="0" borderId="1" xfId="1" applyNumberFormat="1" applyFont="1" applyFill="1" applyBorder="1" applyAlignment="1">
      <alignment horizontal="right"/>
    </xf>
    <xf numFmtId="168" fontId="10" fillId="0" borderId="1" xfId="1" applyNumberFormat="1" applyFont="1" applyFill="1" applyBorder="1" applyAlignment="1">
      <alignment horizontal="right"/>
    </xf>
    <xf numFmtId="168" fontId="12" fillId="0" borderId="1" xfId="5" applyNumberFormat="1" applyFont="1" applyFill="1" applyBorder="1" applyAlignment="1">
      <alignment horizontal="center"/>
    </xf>
    <xf numFmtId="168" fontId="10" fillId="0" borderId="1" xfId="5" applyNumberFormat="1" applyFont="1" applyFill="1" applyBorder="1" applyAlignment="1">
      <alignment horizontal="center"/>
    </xf>
    <xf numFmtId="166" fontId="26" fillId="0" borderId="0" xfId="0" applyNumberFormat="1" applyFont="1" applyFill="1" applyAlignment="1">
      <alignment horizontal="right" vertical="center"/>
    </xf>
    <xf numFmtId="166" fontId="26" fillId="0" borderId="0" xfId="1" applyNumberFormat="1" applyFont="1" applyFill="1"/>
    <xf numFmtId="166" fontId="26" fillId="0" borderId="0" xfId="1" applyNumberFormat="1" applyFont="1" applyFill="1" applyAlignment="1">
      <alignment horizontal="right"/>
    </xf>
    <xf numFmtId="168" fontId="26" fillId="0" borderId="1" xfId="1" applyNumberFormat="1" applyFont="1" applyFill="1" applyBorder="1" applyAlignment="1">
      <alignment horizontal="right"/>
    </xf>
    <xf numFmtId="0" fontId="12" fillId="0" borderId="1" xfId="1" applyFont="1" applyFill="1" applyBorder="1" applyAlignment="1">
      <alignment horizontal="center" vertical="center" wrapText="1"/>
    </xf>
    <xf numFmtId="168" fontId="27" fillId="0" borderId="1" xfId="1" applyNumberFormat="1" applyFont="1" applyFill="1" applyBorder="1" applyAlignment="1">
      <alignment horizontal="right"/>
    </xf>
    <xf numFmtId="166" fontId="13" fillId="0" borderId="0" xfId="1" applyNumberFormat="1" applyFont="1" applyFill="1" applyBorder="1" applyAlignment="1">
      <alignment horizontal="right" wrapText="1"/>
    </xf>
    <xf numFmtId="167" fontId="12" fillId="0" borderId="1" xfId="1" applyNumberFormat="1" applyFont="1" applyFill="1" applyBorder="1" applyAlignment="1">
      <alignment horizontal="center" vertical="center" wrapText="1"/>
    </xf>
    <xf numFmtId="0" fontId="22" fillId="0" borderId="0" xfId="5" applyFont="1" applyBorder="1" applyAlignment="1">
      <alignment horizontal="center" wrapText="1"/>
    </xf>
    <xf numFmtId="0" fontId="9" fillId="0" borderId="0" xfId="18" applyFont="1" applyAlignment="1">
      <alignment wrapText="1"/>
    </xf>
    <xf numFmtId="0" fontId="0" fillId="0" borderId="0" xfId="0" applyAlignment="1">
      <alignment wrapText="1"/>
    </xf>
    <xf numFmtId="168" fontId="11" fillId="0" borderId="1" xfId="0" applyNumberFormat="1" applyFont="1" applyBorder="1"/>
    <xf numFmtId="168" fontId="21" fillId="0" borderId="1" xfId="0" applyNumberFormat="1" applyFont="1" applyBorder="1"/>
    <xf numFmtId="166" fontId="0" fillId="0" borderId="0" xfId="0" applyNumberFormat="1" applyFill="1" applyAlignment="1">
      <alignment horizontal="left" vertical="top" wrapText="1"/>
    </xf>
    <xf numFmtId="0" fontId="0" fillId="0" borderId="0" xfId="0" applyAlignment="1">
      <alignment vertical="top" wrapText="1"/>
    </xf>
    <xf numFmtId="168" fontId="10" fillId="0" borderId="1" xfId="147" applyNumberFormat="1" applyFont="1" applyFill="1" applyBorder="1" applyAlignment="1">
      <alignment horizontal="right"/>
    </xf>
    <xf numFmtId="168" fontId="10" fillId="0" borderId="1" xfId="5" applyNumberFormat="1" applyFont="1" applyFill="1" applyBorder="1" applyAlignment="1">
      <alignment horizontal="right" wrapText="1"/>
    </xf>
    <xf numFmtId="168" fontId="10" fillId="0" borderId="1" xfId="146" applyNumberFormat="1" applyFont="1" applyFill="1" applyBorder="1" applyAlignment="1">
      <alignment horizontal="right" wrapText="1"/>
    </xf>
    <xf numFmtId="168" fontId="10" fillId="0" borderId="1" xfId="7" applyNumberFormat="1" applyFont="1" applyFill="1" applyBorder="1" applyAlignment="1">
      <alignment horizontal="right" wrapText="1"/>
    </xf>
    <xf numFmtId="168" fontId="10" fillId="0" borderId="1" xfId="2" applyNumberFormat="1" applyFont="1" applyFill="1" applyBorder="1" applyAlignment="1">
      <alignment horizontal="right" wrapText="1"/>
    </xf>
    <xf numFmtId="168" fontId="10" fillId="2" borderId="1" xfId="1" applyNumberFormat="1" applyFont="1" applyFill="1" applyBorder="1" applyAlignment="1">
      <alignment horizontal="right"/>
    </xf>
    <xf numFmtId="168" fontId="10" fillId="2" borderId="1" xfId="2" applyNumberFormat="1" applyFont="1" applyFill="1" applyBorder="1" applyAlignment="1">
      <alignment horizontal="right" wrapText="1"/>
    </xf>
    <xf numFmtId="168" fontId="10" fillId="0" borderId="1" xfId="1" applyNumberFormat="1" applyFont="1" applyFill="1" applyBorder="1" applyAlignment="1">
      <alignment horizontal="right" wrapText="1"/>
    </xf>
    <xf numFmtId="168" fontId="26" fillId="0" borderId="1" xfId="2" applyNumberFormat="1" applyFont="1" applyFill="1" applyBorder="1" applyAlignment="1">
      <alignment horizontal="right" wrapText="1"/>
    </xf>
    <xf numFmtId="168" fontId="26" fillId="0" borderId="1" xfId="146" applyNumberFormat="1" applyFont="1" applyFill="1" applyBorder="1" applyAlignment="1">
      <alignment horizontal="right" wrapText="1"/>
    </xf>
    <xf numFmtId="168" fontId="12" fillId="0" borderId="1" xfId="4" applyNumberFormat="1" applyFont="1" applyFill="1" applyBorder="1" applyAlignment="1">
      <alignment horizontal="right"/>
    </xf>
    <xf numFmtId="168" fontId="10" fillId="0" borderId="1" xfId="4" applyNumberFormat="1" applyFont="1" applyFill="1" applyBorder="1" applyAlignment="1">
      <alignment horizontal="right"/>
    </xf>
    <xf numFmtId="168" fontId="26" fillId="0" borderId="1" xfId="4" applyNumberFormat="1" applyFont="1" applyFill="1" applyBorder="1" applyAlignment="1">
      <alignment horizontal="right"/>
    </xf>
    <xf numFmtId="168" fontId="10" fillId="0" borderId="1" xfId="0" applyNumberFormat="1" applyFont="1" applyFill="1" applyBorder="1" applyAlignment="1">
      <alignment horizontal="right" wrapText="1" shrinkToFit="1"/>
    </xf>
    <xf numFmtId="168" fontId="26" fillId="0" borderId="1" xfId="0" applyNumberFormat="1" applyFont="1" applyFill="1" applyBorder="1" applyAlignment="1">
      <alignment horizontal="right" wrapText="1" shrinkToFit="1"/>
    </xf>
    <xf numFmtId="168" fontId="10" fillId="2" borderId="1" xfId="1" applyNumberFormat="1" applyFont="1" applyFill="1" applyBorder="1" applyAlignment="1">
      <alignment horizontal="right" wrapText="1"/>
    </xf>
    <xf numFmtId="168" fontId="26" fillId="0" borderId="1" xfId="1" applyNumberFormat="1" applyFont="1" applyFill="1" applyBorder="1" applyAlignment="1">
      <alignment horizontal="right" wrapText="1"/>
    </xf>
    <xf numFmtId="168" fontId="10" fillId="0" borderId="1" xfId="1" applyNumberFormat="1" applyFont="1" applyFill="1" applyBorder="1" applyAlignment="1"/>
    <xf numFmtId="0" fontId="53" fillId="0" borderId="0" xfId="0" applyFont="1" applyFill="1" applyAlignment="1">
      <alignment vertical="top"/>
    </xf>
    <xf numFmtId="165" fontId="53" fillId="0" borderId="0" xfId="544" applyFont="1" applyFill="1" applyAlignment="1">
      <alignment vertical="top"/>
    </xf>
    <xf numFmtId="165" fontId="53" fillId="0" borderId="0" xfId="544" applyFont="1" applyFill="1" applyAlignment="1">
      <alignment horizontal="center" vertical="top"/>
    </xf>
    <xf numFmtId="0" fontId="53" fillId="0" borderId="0" xfId="0" applyFont="1" applyFill="1" applyAlignment="1">
      <alignment vertical="top" wrapText="1"/>
    </xf>
    <xf numFmtId="165" fontId="53" fillId="0" borderId="0" xfId="544" applyFont="1" applyFill="1" applyBorder="1" applyAlignment="1">
      <alignment horizontal="center" vertical="top"/>
    </xf>
    <xf numFmtId="0" fontId="53" fillId="0" borderId="0" xfId="0" applyFont="1" applyFill="1" applyBorder="1" applyAlignment="1">
      <alignment vertical="top"/>
    </xf>
    <xf numFmtId="165" fontId="53" fillId="0" borderId="0" xfId="544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horizontal="center" vertical="top" wrapText="1"/>
    </xf>
    <xf numFmtId="165" fontId="53" fillId="0" borderId="1" xfId="544" applyFont="1" applyFill="1" applyBorder="1" applyAlignment="1">
      <alignment horizontal="center" vertical="top" wrapText="1"/>
    </xf>
    <xf numFmtId="2" fontId="53" fillId="0" borderId="1" xfId="0" applyNumberFormat="1" applyFont="1" applyBorder="1" applyAlignment="1">
      <alignment horizontal="center" vertical="center" wrapText="1"/>
    </xf>
    <xf numFmtId="2" fontId="53" fillId="0" borderId="1" xfId="0" applyNumberFormat="1" applyFont="1" applyBorder="1" applyAlignment="1">
      <alignment vertical="center" wrapText="1"/>
    </xf>
    <xf numFmtId="165" fontId="24" fillId="0" borderId="1" xfId="544" applyFont="1" applyFill="1" applyBorder="1" applyAlignment="1">
      <alignment horizontal="center" vertical="top" wrapText="1"/>
    </xf>
    <xf numFmtId="172" fontId="54" fillId="0" borderId="1" xfId="0" applyNumberFormat="1" applyFont="1" applyBorder="1" applyAlignment="1">
      <alignment horizontal="center" vertical="center" wrapText="1"/>
    </xf>
    <xf numFmtId="0" fontId="24" fillId="0" borderId="0" xfId="0" applyFont="1" applyFill="1" applyAlignment="1">
      <alignment vertical="top"/>
    </xf>
    <xf numFmtId="172" fontId="55" fillId="0" borderId="1" xfId="0" applyNumberFormat="1" applyFont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2" fontId="24" fillId="0" borderId="1" xfId="0" applyNumberFormat="1" applyFont="1" applyBorder="1" applyAlignment="1">
      <alignment vertical="center" wrapText="1"/>
    </xf>
    <xf numFmtId="0" fontId="53" fillId="0" borderId="1" xfId="0" applyFont="1" applyFill="1" applyBorder="1" applyAlignment="1">
      <alignment vertical="top"/>
    </xf>
    <xf numFmtId="0" fontId="24" fillId="0" borderId="1" xfId="0" applyFont="1" applyFill="1" applyBorder="1" applyAlignment="1">
      <alignment vertical="top"/>
    </xf>
    <xf numFmtId="172" fontId="55" fillId="0" borderId="1" xfId="0" applyNumberFormat="1" applyFont="1" applyFill="1" applyBorder="1" applyAlignment="1">
      <alignment horizontal="center" vertical="center" wrapText="1"/>
    </xf>
    <xf numFmtId="165" fontId="53" fillId="0" borderId="0" xfId="544" applyFont="1" applyFill="1" applyAlignment="1">
      <alignment horizontal="right"/>
    </xf>
    <xf numFmtId="0" fontId="53" fillId="0" borderId="0" xfId="0" applyFont="1" applyFill="1" applyAlignment="1">
      <alignment horizontal="right" vertical="top"/>
    </xf>
    <xf numFmtId="49" fontId="56" fillId="0" borderId="0" xfId="0" applyNumberFormat="1" applyFont="1" applyBorder="1" applyAlignment="1">
      <alignment vertical="top" wrapText="1"/>
    </xf>
    <xf numFmtId="0" fontId="24" fillId="0" borderId="0" xfId="0" applyFont="1" applyFill="1" applyAlignment="1">
      <alignment horizontal="center" vertical="top" wrapText="1"/>
    </xf>
    <xf numFmtId="0" fontId="53" fillId="0" borderId="0" xfId="0" applyFont="1" applyFill="1"/>
    <xf numFmtId="0" fontId="53" fillId="0" borderId="0" xfId="0" applyFont="1" applyFill="1" applyAlignment="1">
      <alignment horizontal="center"/>
    </xf>
    <xf numFmtId="0" fontId="53" fillId="0" borderId="0" xfId="0" applyFont="1" applyFill="1" applyAlignment="1">
      <alignment vertical="center" wrapText="1"/>
    </xf>
    <xf numFmtId="49" fontId="53" fillId="0" borderId="0" xfId="0" applyNumberFormat="1" applyFont="1" applyFill="1" applyAlignment="1"/>
    <xf numFmtId="173" fontId="53" fillId="0" borderId="1" xfId="0" applyNumberFormat="1" applyFont="1" applyFill="1" applyBorder="1" applyAlignment="1">
      <alignment horizontal="center"/>
    </xf>
    <xf numFmtId="0" fontId="53" fillId="0" borderId="1" xfId="0" applyFont="1" applyFill="1" applyBorder="1" applyAlignment="1">
      <alignment vertical="center" wrapText="1"/>
    </xf>
    <xf numFmtId="49" fontId="53" fillId="0" borderId="1" xfId="0" applyNumberFormat="1" applyFont="1" applyFill="1" applyBorder="1" applyAlignment="1">
      <alignment horizontal="center"/>
    </xf>
    <xf numFmtId="0" fontId="57" fillId="0" borderId="0" xfId="0" applyFont="1" applyFill="1"/>
    <xf numFmtId="173" fontId="57" fillId="0" borderId="1" xfId="0" applyNumberFormat="1" applyFont="1" applyFill="1" applyBorder="1" applyAlignment="1">
      <alignment horizontal="center"/>
    </xf>
    <xf numFmtId="0" fontId="57" fillId="0" borderId="1" xfId="0" applyNumberFormat="1" applyFont="1" applyFill="1" applyBorder="1" applyAlignment="1">
      <alignment horizontal="justify" vertical="center" wrapText="1"/>
    </xf>
    <xf numFmtId="49" fontId="57" fillId="0" borderId="1" xfId="0" applyNumberFormat="1" applyFont="1" applyFill="1" applyBorder="1" applyAlignment="1">
      <alignment horizontal="center"/>
    </xf>
    <xf numFmtId="0" fontId="57" fillId="0" borderId="1" xfId="0" applyFont="1" applyFill="1" applyBorder="1" applyAlignment="1">
      <alignment horizontal="justify" vertical="center" wrapText="1"/>
    </xf>
    <xf numFmtId="174" fontId="57" fillId="0" borderId="0" xfId="0" applyNumberFormat="1" applyFont="1" applyFill="1"/>
    <xf numFmtId="0" fontId="57" fillId="0" borderId="6" xfId="0" applyNumberFormat="1" applyFont="1" applyFill="1" applyBorder="1" applyAlignment="1">
      <alignment horizontal="justify" vertical="center" wrapText="1"/>
    </xf>
    <xf numFmtId="175" fontId="53" fillId="0" borderId="0" xfId="0" applyNumberFormat="1" applyFont="1" applyFill="1"/>
    <xf numFmtId="166" fontId="53" fillId="0" borderId="0" xfId="0" applyNumberFormat="1" applyFont="1" applyFill="1"/>
    <xf numFmtId="0" fontId="57" fillId="0" borderId="1" xfId="0" applyFont="1" applyFill="1" applyBorder="1" applyAlignment="1">
      <alignment wrapText="1"/>
    </xf>
    <xf numFmtId="0" fontId="57" fillId="0" borderId="1" xfId="0" applyFont="1" applyFill="1" applyBorder="1" applyAlignment="1">
      <alignment vertical="center" wrapText="1"/>
    </xf>
    <xf numFmtId="174" fontId="53" fillId="0" borderId="0" xfId="0" applyNumberFormat="1" applyFont="1" applyFill="1"/>
    <xf numFmtId="176" fontId="53" fillId="0" borderId="1" xfId="0" applyNumberFormat="1" applyFont="1" applyFill="1" applyBorder="1" applyAlignment="1">
      <alignment horizontal="center"/>
    </xf>
    <xf numFmtId="176" fontId="53" fillId="0" borderId="0" xfId="0" applyNumberFormat="1" applyFont="1" applyFill="1"/>
    <xf numFmtId="0" fontId="53" fillId="0" borderId="1" xfId="0" applyFont="1" applyFill="1" applyBorder="1" applyAlignment="1">
      <alignment horizontal="justify" vertical="center"/>
    </xf>
    <xf numFmtId="177" fontId="53" fillId="0" borderId="0" xfId="0" applyNumberFormat="1" applyFont="1" applyFill="1"/>
    <xf numFmtId="173" fontId="53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/>
    <xf numFmtId="0" fontId="24" fillId="0" borderId="1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49" fontId="24" fillId="0" borderId="4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/>
    <xf numFmtId="0" fontId="24" fillId="0" borderId="0" xfId="0" applyFont="1" applyFill="1" applyAlignment="1">
      <alignment vertical="top" wrapText="1"/>
    </xf>
    <xf numFmtId="49" fontId="55" fillId="0" borderId="0" xfId="0" applyNumberFormat="1" applyFont="1" applyBorder="1" applyAlignment="1">
      <alignment vertical="center"/>
    </xf>
    <xf numFmtId="173" fontId="59" fillId="0" borderId="0" xfId="0" applyNumberFormat="1" applyFont="1" applyAlignment="1"/>
    <xf numFmtId="165" fontId="53" fillId="0" borderId="0" xfId="0" applyNumberFormat="1" applyFont="1" applyAlignment="1"/>
    <xf numFmtId="165" fontId="53" fillId="0" borderId="0" xfId="0" applyNumberFormat="1" applyFont="1" applyAlignment="1">
      <alignment horizontal="center" vertical="top"/>
    </xf>
    <xf numFmtId="165" fontId="5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0" fillId="0" borderId="0" xfId="0" applyFont="1" applyAlignment="1">
      <alignment vertical="top"/>
    </xf>
    <xf numFmtId="165" fontId="53" fillId="0" borderId="0" xfId="133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10" fillId="0" borderId="0" xfId="5" applyFont="1" applyAlignment="1">
      <alignment wrapText="1"/>
    </xf>
    <xf numFmtId="0" fontId="12" fillId="0" borderId="1" xfId="5" applyFont="1" applyBorder="1" applyAlignment="1">
      <alignment horizontal="center" vertical="center" wrapText="1"/>
    </xf>
    <xf numFmtId="173" fontId="53" fillId="0" borderId="3" xfId="0" applyNumberFormat="1" applyFont="1" applyFill="1" applyBorder="1" applyAlignment="1">
      <alignment horizontal="center"/>
    </xf>
    <xf numFmtId="176" fontId="53" fillId="0" borderId="0" xfId="0" applyNumberFormat="1" applyFont="1" applyFill="1" applyBorder="1"/>
    <xf numFmtId="173" fontId="53" fillId="0" borderId="4" xfId="0" applyNumberFormat="1" applyFont="1" applyFill="1" applyBorder="1" applyAlignment="1">
      <alignment horizontal="center"/>
    </xf>
    <xf numFmtId="173" fontId="53" fillId="0" borderId="6" xfId="0" applyNumberFormat="1" applyFont="1" applyFill="1" applyBorder="1" applyAlignment="1">
      <alignment horizontal="center"/>
    </xf>
    <xf numFmtId="166" fontId="10" fillId="0" borderId="0" xfId="1" applyNumberFormat="1" applyFont="1" applyFill="1" applyAlignment="1">
      <alignment horizontal="right" wrapText="1"/>
    </xf>
    <xf numFmtId="0" fontId="0" fillId="0" borderId="0" xfId="0" applyAlignment="1">
      <alignment horizontal="right" wrapText="1"/>
    </xf>
    <xf numFmtId="166" fontId="15" fillId="0" borderId="0" xfId="0" applyNumberFormat="1" applyFont="1" applyFill="1" applyAlignment="1">
      <alignment horizontal="right" vertical="top" wrapText="1"/>
    </xf>
    <xf numFmtId="165" fontId="24" fillId="0" borderId="4" xfId="544" applyFont="1" applyFill="1" applyBorder="1" applyAlignment="1">
      <alignment horizontal="center" vertical="center" wrapText="1"/>
    </xf>
    <xf numFmtId="165" fontId="24" fillId="0" borderId="6" xfId="544" applyFont="1" applyFill="1" applyBorder="1" applyAlignment="1">
      <alignment horizontal="center" vertical="center" wrapText="1"/>
    </xf>
    <xf numFmtId="165" fontId="24" fillId="0" borderId="0" xfId="544" applyFont="1" applyFill="1" applyBorder="1" applyAlignment="1">
      <alignment horizontal="center" vertical="top"/>
    </xf>
    <xf numFmtId="2" fontId="24" fillId="0" borderId="4" xfId="0" applyNumberFormat="1" applyFont="1" applyBorder="1" applyAlignment="1">
      <alignment horizontal="center" vertical="center" wrapText="1"/>
    </xf>
    <xf numFmtId="2" fontId="24" fillId="0" borderId="6" xfId="0" applyNumberFormat="1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49" fontId="56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9" fontId="5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3" xfId="5" applyNumberFormat="1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49" fontId="12" fillId="0" borderId="3" xfId="5" applyNumberFormat="1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166" fontId="0" fillId="0" borderId="0" xfId="0" applyNumberForma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0" fillId="0" borderId="0" xfId="5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49" fontId="12" fillId="0" borderId="1" xfId="5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2" fillId="0" borderId="0" xfId="5" applyFont="1" applyBorder="1" applyAlignment="1">
      <alignment horizontal="center" wrapText="1"/>
    </xf>
    <xf numFmtId="0" fontId="9" fillId="0" borderId="0" xfId="18" applyFont="1" applyAlignment="1">
      <alignment wrapText="1"/>
    </xf>
    <xf numFmtId="49" fontId="12" fillId="0" borderId="2" xfId="5" applyNumberFormat="1" applyFont="1" applyFill="1" applyBorder="1" applyAlignment="1">
      <alignment horizontal="center" wrapText="1"/>
    </xf>
    <xf numFmtId="166" fontId="27" fillId="0" borderId="1" xfId="1" applyNumberFormat="1" applyFont="1" applyFill="1" applyBorder="1" applyAlignment="1">
      <alignment horizontal="center" vertical="center" wrapText="1"/>
    </xf>
    <xf numFmtId="166" fontId="25" fillId="0" borderId="1" xfId="0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49" fontId="12" fillId="0" borderId="2" xfId="5" applyNumberFormat="1" applyFont="1" applyFill="1" applyBorder="1" applyAlignment="1">
      <alignment horizontal="center"/>
    </xf>
    <xf numFmtId="166" fontId="25" fillId="0" borderId="0" xfId="0" applyNumberFormat="1" applyFont="1" applyFill="1" applyAlignment="1">
      <alignment horizontal="right" wrapText="1"/>
    </xf>
    <xf numFmtId="0" fontId="23" fillId="0" borderId="1" xfId="1" applyFont="1" applyFill="1" applyBorder="1" applyAlignment="1">
      <alignment horizontal="center" vertical="center" wrapText="1"/>
    </xf>
    <xf numFmtId="0" fontId="24" fillId="0" borderId="0" xfId="1" applyFont="1" applyFill="1" applyAlignment="1">
      <alignment horizontal="center" vertical="center" wrapText="1"/>
    </xf>
    <xf numFmtId="0" fontId="25" fillId="0" borderId="0" xfId="0" applyFont="1" applyFill="1" applyAlignment="1">
      <alignment wrapText="1"/>
    </xf>
    <xf numFmtId="166" fontId="15" fillId="0" borderId="0" xfId="0" applyNumberFormat="1" applyFont="1" applyFill="1" applyAlignment="1">
      <alignment horizontal="right" wrapText="1"/>
    </xf>
  </cellXfs>
  <cellStyles count="549">
    <cellStyle name="br" xfId="148"/>
    <cellStyle name="br 2" xfId="149"/>
    <cellStyle name="col" xfId="150"/>
    <cellStyle name="col 2" xfId="151"/>
    <cellStyle name="Excel Built-in Normal" xfId="11"/>
    <cellStyle name="style0" xfId="152"/>
    <cellStyle name="style0 2" xfId="153"/>
    <cellStyle name="td" xfId="154"/>
    <cellStyle name="td 2" xfId="155"/>
    <cellStyle name="tr" xfId="156"/>
    <cellStyle name="tr 2" xfId="157"/>
    <cellStyle name="xl100" xfId="158"/>
    <cellStyle name="xl100 2" xfId="159"/>
    <cellStyle name="xl101" xfId="160"/>
    <cellStyle name="xl101 2" xfId="161"/>
    <cellStyle name="xl102" xfId="162"/>
    <cellStyle name="xl102 2" xfId="163"/>
    <cellStyle name="xl103" xfId="164"/>
    <cellStyle name="xl103 2" xfId="165"/>
    <cellStyle name="xl104" xfId="166"/>
    <cellStyle name="xl104 2" xfId="167"/>
    <cellStyle name="xl105" xfId="168"/>
    <cellStyle name="xl105 2" xfId="169"/>
    <cellStyle name="xl106" xfId="170"/>
    <cellStyle name="xl106 2" xfId="171"/>
    <cellStyle name="xl107" xfId="172"/>
    <cellStyle name="xl107 2" xfId="173"/>
    <cellStyle name="xl108" xfId="174"/>
    <cellStyle name="xl108 2" xfId="175"/>
    <cellStyle name="xl109" xfId="176"/>
    <cellStyle name="xl109 2" xfId="177"/>
    <cellStyle name="xl110" xfId="178"/>
    <cellStyle name="xl110 2" xfId="179"/>
    <cellStyle name="xl111" xfId="180"/>
    <cellStyle name="xl111 2" xfId="181"/>
    <cellStyle name="xl112" xfId="182"/>
    <cellStyle name="xl112 2" xfId="183"/>
    <cellStyle name="xl113" xfId="184"/>
    <cellStyle name="xl113 2" xfId="185"/>
    <cellStyle name="xl114" xfId="186"/>
    <cellStyle name="xl114 2" xfId="187"/>
    <cellStyle name="xl115" xfId="188"/>
    <cellStyle name="xl115 2" xfId="189"/>
    <cellStyle name="xl116" xfId="190"/>
    <cellStyle name="xl116 2" xfId="191"/>
    <cellStyle name="xl117" xfId="192"/>
    <cellStyle name="xl117 2" xfId="193"/>
    <cellStyle name="xl118" xfId="194"/>
    <cellStyle name="xl118 2" xfId="195"/>
    <cellStyle name="xl119" xfId="196"/>
    <cellStyle name="xl119 2" xfId="197"/>
    <cellStyle name="xl120" xfId="198"/>
    <cellStyle name="xl120 2" xfId="199"/>
    <cellStyle name="xl121" xfId="200"/>
    <cellStyle name="xl121 2" xfId="201"/>
    <cellStyle name="xl122" xfId="202"/>
    <cellStyle name="xl122 2" xfId="203"/>
    <cellStyle name="xl123" xfId="204"/>
    <cellStyle name="xl123 2" xfId="205"/>
    <cellStyle name="xl124" xfId="206"/>
    <cellStyle name="xl124 2" xfId="207"/>
    <cellStyle name="xl125" xfId="208"/>
    <cellStyle name="xl125 2" xfId="209"/>
    <cellStyle name="xl126" xfId="210"/>
    <cellStyle name="xl126 2" xfId="211"/>
    <cellStyle name="xl127" xfId="212"/>
    <cellStyle name="xl127 2" xfId="213"/>
    <cellStyle name="xl128" xfId="214"/>
    <cellStyle name="xl128 2" xfId="215"/>
    <cellStyle name="xl129" xfId="216"/>
    <cellStyle name="xl129 2" xfId="217"/>
    <cellStyle name="xl130" xfId="218"/>
    <cellStyle name="xl130 2" xfId="219"/>
    <cellStyle name="xl131" xfId="220"/>
    <cellStyle name="xl131 2" xfId="221"/>
    <cellStyle name="xl132" xfId="222"/>
    <cellStyle name="xl132 2" xfId="223"/>
    <cellStyle name="xl133" xfId="224"/>
    <cellStyle name="xl133 2" xfId="225"/>
    <cellStyle name="xl134" xfId="226"/>
    <cellStyle name="xl134 2" xfId="227"/>
    <cellStyle name="xl135" xfId="228"/>
    <cellStyle name="xl135 2" xfId="229"/>
    <cellStyle name="xl136" xfId="230"/>
    <cellStyle name="xl136 2" xfId="231"/>
    <cellStyle name="xl137" xfId="232"/>
    <cellStyle name="xl137 2" xfId="233"/>
    <cellStyle name="xl138" xfId="234"/>
    <cellStyle name="xl138 2" xfId="235"/>
    <cellStyle name="xl139" xfId="236"/>
    <cellStyle name="xl139 2" xfId="237"/>
    <cellStyle name="xl140" xfId="238"/>
    <cellStyle name="xl140 2" xfId="239"/>
    <cellStyle name="xl141" xfId="240"/>
    <cellStyle name="xl141 2" xfId="241"/>
    <cellStyle name="xl142" xfId="242"/>
    <cellStyle name="xl142 2" xfId="243"/>
    <cellStyle name="xl143" xfId="244"/>
    <cellStyle name="xl143 2" xfId="245"/>
    <cellStyle name="xl144" xfId="246"/>
    <cellStyle name="xl144 2" xfId="247"/>
    <cellStyle name="xl145" xfId="248"/>
    <cellStyle name="xl145 2" xfId="249"/>
    <cellStyle name="xl146" xfId="250"/>
    <cellStyle name="xl146 2" xfId="251"/>
    <cellStyle name="xl147" xfId="252"/>
    <cellStyle name="xl147 2" xfId="253"/>
    <cellStyle name="xl148" xfId="254"/>
    <cellStyle name="xl148 2" xfId="255"/>
    <cellStyle name="xl149" xfId="256"/>
    <cellStyle name="xl149 2" xfId="257"/>
    <cellStyle name="xl150" xfId="258"/>
    <cellStyle name="xl150 2" xfId="259"/>
    <cellStyle name="xl151" xfId="260"/>
    <cellStyle name="xl151 2" xfId="261"/>
    <cellStyle name="xl152" xfId="262"/>
    <cellStyle name="xl152 2" xfId="263"/>
    <cellStyle name="xl153" xfId="264"/>
    <cellStyle name="xl153 2" xfId="265"/>
    <cellStyle name="xl154" xfId="266"/>
    <cellStyle name="xl154 2" xfId="267"/>
    <cellStyle name="xl155" xfId="268"/>
    <cellStyle name="xl155 2" xfId="269"/>
    <cellStyle name="xl156" xfId="270"/>
    <cellStyle name="xl156 2" xfId="271"/>
    <cellStyle name="xl157" xfId="272"/>
    <cellStyle name="xl157 2" xfId="273"/>
    <cellStyle name="xl158" xfId="274"/>
    <cellStyle name="xl158 2" xfId="275"/>
    <cellStyle name="xl159" xfId="276"/>
    <cellStyle name="xl159 2" xfId="277"/>
    <cellStyle name="xl160" xfId="278"/>
    <cellStyle name="xl160 2" xfId="279"/>
    <cellStyle name="xl161" xfId="280"/>
    <cellStyle name="xl161 2" xfId="281"/>
    <cellStyle name="xl162" xfId="282"/>
    <cellStyle name="xl162 2" xfId="283"/>
    <cellStyle name="xl163" xfId="284"/>
    <cellStyle name="xl163 2" xfId="285"/>
    <cellStyle name="xl164" xfId="286"/>
    <cellStyle name="xl164 2" xfId="287"/>
    <cellStyle name="xl165" xfId="288"/>
    <cellStyle name="xl165 2" xfId="289"/>
    <cellStyle name="xl166" xfId="290"/>
    <cellStyle name="xl166 2" xfId="291"/>
    <cellStyle name="xl167" xfId="292"/>
    <cellStyle name="xl167 2" xfId="293"/>
    <cellStyle name="xl168" xfId="294"/>
    <cellStyle name="xl168 2" xfId="295"/>
    <cellStyle name="xl169" xfId="296"/>
    <cellStyle name="xl169 2" xfId="297"/>
    <cellStyle name="xl170" xfId="298"/>
    <cellStyle name="xl170 2" xfId="299"/>
    <cellStyle name="xl171" xfId="300"/>
    <cellStyle name="xl171 2" xfId="301"/>
    <cellStyle name="xl172" xfId="302"/>
    <cellStyle name="xl172 2" xfId="303"/>
    <cellStyle name="xl173" xfId="304"/>
    <cellStyle name="xl173 2" xfId="305"/>
    <cellStyle name="xl174" xfId="306"/>
    <cellStyle name="xl174 2" xfId="307"/>
    <cellStyle name="xl175" xfId="308"/>
    <cellStyle name="xl175 2" xfId="309"/>
    <cellStyle name="xl176" xfId="310"/>
    <cellStyle name="xl177" xfId="311"/>
    <cellStyle name="xl178" xfId="312"/>
    <cellStyle name="xl179" xfId="313"/>
    <cellStyle name="xl180" xfId="314"/>
    <cellStyle name="xl181" xfId="315"/>
    <cellStyle name="xl182" xfId="316"/>
    <cellStyle name="xl183" xfId="317"/>
    <cellStyle name="xl184" xfId="318"/>
    <cellStyle name="xl185" xfId="319"/>
    <cellStyle name="xl186" xfId="320"/>
    <cellStyle name="xl187" xfId="321"/>
    <cellStyle name="xl188" xfId="322"/>
    <cellStyle name="xl189" xfId="323"/>
    <cellStyle name="xl190" xfId="324"/>
    <cellStyle name="xl191" xfId="325"/>
    <cellStyle name="xl192" xfId="326"/>
    <cellStyle name="xl193" xfId="327"/>
    <cellStyle name="xl194" xfId="328"/>
    <cellStyle name="xl195" xfId="329"/>
    <cellStyle name="xl196" xfId="330"/>
    <cellStyle name="xl197" xfId="331"/>
    <cellStyle name="xl198" xfId="332"/>
    <cellStyle name="xl199" xfId="333"/>
    <cellStyle name="xl200" xfId="334"/>
    <cellStyle name="xl201" xfId="335"/>
    <cellStyle name="xl202" xfId="336"/>
    <cellStyle name="xl203" xfId="337"/>
    <cellStyle name="xl204" xfId="338"/>
    <cellStyle name="xl21" xfId="339"/>
    <cellStyle name="xl21 2" xfId="340"/>
    <cellStyle name="xl22" xfId="341"/>
    <cellStyle name="xl22 2" xfId="342"/>
    <cellStyle name="xl23" xfId="343"/>
    <cellStyle name="xl23 2" xfId="344"/>
    <cellStyle name="xl24" xfId="345"/>
    <cellStyle name="xl24 2" xfId="346"/>
    <cellStyle name="xl25" xfId="347"/>
    <cellStyle name="xl25 2" xfId="348"/>
    <cellStyle name="xl26" xfId="349"/>
    <cellStyle name="xl26 2" xfId="350"/>
    <cellStyle name="xl27" xfId="351"/>
    <cellStyle name="xl27 2" xfId="352"/>
    <cellStyle name="xl28" xfId="353"/>
    <cellStyle name="xl28 2" xfId="354"/>
    <cellStyle name="xl29" xfId="355"/>
    <cellStyle name="xl29 2" xfId="356"/>
    <cellStyle name="xl30" xfId="357"/>
    <cellStyle name="xl30 2" xfId="358"/>
    <cellStyle name="xl31" xfId="359"/>
    <cellStyle name="xl31 2" xfId="360"/>
    <cellStyle name="xl32" xfId="361"/>
    <cellStyle name="xl32 2" xfId="362"/>
    <cellStyle name="xl33" xfId="363"/>
    <cellStyle name="xl33 2" xfId="364"/>
    <cellStyle name="xl34" xfId="365"/>
    <cellStyle name="xl34 2" xfId="366"/>
    <cellStyle name="xl35" xfId="367"/>
    <cellStyle name="xl35 2" xfId="368"/>
    <cellStyle name="xl36" xfId="369"/>
    <cellStyle name="xl36 2" xfId="370"/>
    <cellStyle name="xl37" xfId="371"/>
    <cellStyle name="xl37 2" xfId="372"/>
    <cellStyle name="xl38" xfId="373"/>
    <cellStyle name="xl38 2" xfId="374"/>
    <cellStyle name="xl39" xfId="375"/>
    <cellStyle name="xl39 2" xfId="376"/>
    <cellStyle name="xl40" xfId="377"/>
    <cellStyle name="xl40 2" xfId="378"/>
    <cellStyle name="xl41" xfId="379"/>
    <cellStyle name="xl41 2" xfId="380"/>
    <cellStyle name="xl42" xfId="381"/>
    <cellStyle name="xl42 2" xfId="382"/>
    <cellStyle name="xl43" xfId="383"/>
    <cellStyle name="xl43 2" xfId="384"/>
    <cellStyle name="xl44" xfId="385"/>
    <cellStyle name="xl44 2" xfId="386"/>
    <cellStyle name="xl45" xfId="387"/>
    <cellStyle name="xl45 2" xfId="388"/>
    <cellStyle name="xl46" xfId="389"/>
    <cellStyle name="xl46 2" xfId="390"/>
    <cellStyle name="xl47" xfId="391"/>
    <cellStyle name="xl47 2" xfId="392"/>
    <cellStyle name="xl48" xfId="393"/>
    <cellStyle name="xl48 2" xfId="394"/>
    <cellStyle name="xl49" xfId="395"/>
    <cellStyle name="xl49 2" xfId="396"/>
    <cellStyle name="xl50" xfId="397"/>
    <cellStyle name="xl50 2" xfId="398"/>
    <cellStyle name="xl51" xfId="399"/>
    <cellStyle name="xl51 2" xfId="400"/>
    <cellStyle name="xl52" xfId="401"/>
    <cellStyle name="xl52 2" xfId="402"/>
    <cellStyle name="xl53" xfId="403"/>
    <cellStyle name="xl53 2" xfId="404"/>
    <cellStyle name="xl54" xfId="405"/>
    <cellStyle name="xl54 2" xfId="406"/>
    <cellStyle name="xl55" xfId="407"/>
    <cellStyle name="xl55 2" xfId="408"/>
    <cellStyle name="xl56" xfId="409"/>
    <cellStyle name="xl56 2" xfId="410"/>
    <cellStyle name="xl57" xfId="411"/>
    <cellStyle name="xl57 2" xfId="412"/>
    <cellStyle name="xl58" xfId="413"/>
    <cellStyle name="xl58 2" xfId="414"/>
    <cellStyle name="xl59" xfId="415"/>
    <cellStyle name="xl59 2" xfId="416"/>
    <cellStyle name="xl60" xfId="417"/>
    <cellStyle name="xl60 2" xfId="418"/>
    <cellStyle name="xl61" xfId="419"/>
    <cellStyle name="xl61 2" xfId="420"/>
    <cellStyle name="xl62" xfId="421"/>
    <cellStyle name="xl62 2" xfId="422"/>
    <cellStyle name="xl63" xfId="423"/>
    <cellStyle name="xl63 2" xfId="424"/>
    <cellStyle name="xl64" xfId="425"/>
    <cellStyle name="xl64 2" xfId="426"/>
    <cellStyle name="xl65" xfId="427"/>
    <cellStyle name="xl65 2" xfId="428"/>
    <cellStyle name="xl66" xfId="429"/>
    <cellStyle name="xl66 2" xfId="430"/>
    <cellStyle name="xl67" xfId="431"/>
    <cellStyle name="xl67 2" xfId="432"/>
    <cellStyle name="xl68" xfId="433"/>
    <cellStyle name="xl68 2" xfId="434"/>
    <cellStyle name="xl69" xfId="435"/>
    <cellStyle name="xl69 2" xfId="436"/>
    <cellStyle name="xl70" xfId="437"/>
    <cellStyle name="xl70 2" xfId="438"/>
    <cellStyle name="xl71" xfId="439"/>
    <cellStyle name="xl71 2" xfId="440"/>
    <cellStyle name="xl72" xfId="441"/>
    <cellStyle name="xl72 2" xfId="442"/>
    <cellStyle name="xl73" xfId="443"/>
    <cellStyle name="xl73 2" xfId="444"/>
    <cellStyle name="xl74" xfId="445"/>
    <cellStyle name="xl74 2" xfId="446"/>
    <cellStyle name="xl75" xfId="447"/>
    <cellStyle name="xl75 2" xfId="448"/>
    <cellStyle name="xl76" xfId="449"/>
    <cellStyle name="xl76 2" xfId="450"/>
    <cellStyle name="xl77" xfId="451"/>
    <cellStyle name="xl77 2" xfId="452"/>
    <cellStyle name="xl78" xfId="453"/>
    <cellStyle name="xl78 2" xfId="454"/>
    <cellStyle name="xl79" xfId="455"/>
    <cellStyle name="xl79 2" xfId="456"/>
    <cellStyle name="xl80" xfId="457"/>
    <cellStyle name="xl80 2" xfId="458"/>
    <cellStyle name="xl81" xfId="459"/>
    <cellStyle name="xl81 2" xfId="460"/>
    <cellStyle name="xl82" xfId="461"/>
    <cellStyle name="xl82 2" xfId="462"/>
    <cellStyle name="xl83" xfId="463"/>
    <cellStyle name="xl83 2" xfId="464"/>
    <cellStyle name="xl84" xfId="465"/>
    <cellStyle name="xl84 2" xfId="466"/>
    <cellStyle name="xl85" xfId="467"/>
    <cellStyle name="xl85 2" xfId="468"/>
    <cellStyle name="xl86" xfId="469"/>
    <cellStyle name="xl86 2" xfId="470"/>
    <cellStyle name="xl87" xfId="471"/>
    <cellStyle name="xl87 2" xfId="472"/>
    <cellStyle name="xl88" xfId="473"/>
    <cellStyle name="xl88 2" xfId="474"/>
    <cellStyle name="xl89" xfId="475"/>
    <cellStyle name="xl89 2" xfId="476"/>
    <cellStyle name="xl90" xfId="477"/>
    <cellStyle name="xl90 2" xfId="478"/>
    <cellStyle name="xl91" xfId="479"/>
    <cellStyle name="xl91 2" xfId="480"/>
    <cellStyle name="xl92" xfId="481"/>
    <cellStyle name="xl92 2" xfId="482"/>
    <cellStyle name="xl93" xfId="483"/>
    <cellStyle name="xl93 2" xfId="484"/>
    <cellStyle name="xl94" xfId="485"/>
    <cellStyle name="xl94 2" xfId="486"/>
    <cellStyle name="xl95" xfId="487"/>
    <cellStyle name="xl95 2" xfId="488"/>
    <cellStyle name="xl96" xfId="489"/>
    <cellStyle name="xl96 2" xfId="490"/>
    <cellStyle name="xl97" xfId="491"/>
    <cellStyle name="xl97 2" xfId="492"/>
    <cellStyle name="xl98" xfId="493"/>
    <cellStyle name="xl98 2" xfId="494"/>
    <cellStyle name="xl99" xfId="495"/>
    <cellStyle name="xl99 2" xfId="496"/>
    <cellStyle name="Гиперссылка 2" xfId="12"/>
    <cellStyle name="Денежный" xfId="147" builtinId="4"/>
    <cellStyle name="Денежный 2" xfId="497"/>
    <cellStyle name="Денежный 3" xfId="498"/>
    <cellStyle name="Обычный" xfId="0" builtinId="0"/>
    <cellStyle name="Обычный 10" xfId="3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16" xfId="1"/>
    <cellStyle name="Обычный 17" xfId="18"/>
    <cellStyle name="Обычный 18" xfId="19"/>
    <cellStyle name="Обычный 18 2" xfId="2"/>
    <cellStyle name="Обычный 18 2 2" xfId="20"/>
    <cellStyle name="Обычный 18 2 2 2" xfId="6"/>
    <cellStyle name="Обычный 18 2 2 2 2" xfId="141"/>
    <cellStyle name="Обычный 18 2 2 3" xfId="499"/>
    <cellStyle name="Обычный 18 2 3" xfId="142"/>
    <cellStyle name="Обычный 18 2 4" xfId="145"/>
    <cellStyle name="Обычный 18 2 4 2" xfId="146"/>
    <cellStyle name="Обычный 18 2 5" xfId="500"/>
    <cellStyle name="Обычный 18 2 6" xfId="501"/>
    <cellStyle name="Обычный 18 2 7" xfId="502"/>
    <cellStyle name="Обычный 18 3" xfId="21"/>
    <cellStyle name="Обычный 18 3 2" xfId="143"/>
    <cellStyle name="Обычный 18 3 2 2" xfId="503"/>
    <cellStyle name="Обычный 18 3 2 3" xfId="504"/>
    <cellStyle name="Обычный 18 3 2 3 2" xfId="505"/>
    <cellStyle name="Обычный 18 3 3" xfId="144"/>
    <cellStyle name="Обычный 18 3 3 2" xfId="506"/>
    <cellStyle name="Обычный 18 3 3 3" xfId="507"/>
    <cellStyle name="Обычный 18 3 3 3 2" xfId="508"/>
    <cellStyle name="Обычный 18 4" xfId="22"/>
    <cellStyle name="Обычный 18 4 2" xfId="509"/>
    <cellStyle name="Обычный 18 5" xfId="510"/>
    <cellStyle name="Обычный 18 6" xfId="511"/>
    <cellStyle name="Обычный 18 7" xfId="512"/>
    <cellStyle name="Обычный 19" xfId="23"/>
    <cellStyle name="Обычный 2" xfId="8"/>
    <cellStyle name="Обычный 2 10" xfId="24"/>
    <cellStyle name="Обычный 2 11" xfId="25"/>
    <cellStyle name="Обычный 2 12" xfId="26"/>
    <cellStyle name="Обычный 2 13" xfId="27"/>
    <cellStyle name="Обычный 2 14" xfId="28"/>
    <cellStyle name="Обычный 2 15" xfId="29"/>
    <cellStyle name="Обычный 2 16" xfId="30"/>
    <cellStyle name="Обычный 2 17" xfId="31"/>
    <cellStyle name="Обычный 2 18" xfId="32"/>
    <cellStyle name="Обычный 2 19" xfId="33"/>
    <cellStyle name="Обычный 2 2" xfId="34"/>
    <cellStyle name="Обычный 2 2 2" xfId="9"/>
    <cellStyle name="Обычный 2 2 3" xfId="513"/>
    <cellStyle name="Обычный 2 2 4" xfId="514"/>
    <cellStyle name="Обычный 2 20" xfId="35"/>
    <cellStyle name="Обычный 2 21" xfId="36"/>
    <cellStyle name="Обычный 2 22" xfId="37"/>
    <cellStyle name="Обычный 2 23" xfId="38"/>
    <cellStyle name="Обычный 2 24" xfId="39"/>
    <cellStyle name="Обычный 2 25" xfId="40"/>
    <cellStyle name="Обычный 2 26" xfId="41"/>
    <cellStyle name="Обычный 2 27" xfId="42"/>
    <cellStyle name="Обычный 2 28" xfId="43"/>
    <cellStyle name="Обычный 2 29" xfId="44"/>
    <cellStyle name="Обычный 2 3" xfId="45"/>
    <cellStyle name="Обычный 2 30" xfId="46"/>
    <cellStyle name="Обычный 2 31" xfId="47"/>
    <cellStyle name="Обычный 2 32" xfId="515"/>
    <cellStyle name="Обычный 2 4" xfId="48"/>
    <cellStyle name="Обычный 2 5" xfId="49"/>
    <cellStyle name="Обычный 2 6" xfId="50"/>
    <cellStyle name="Обычный 2 7" xfId="51"/>
    <cellStyle name="Обычный 2 8" xfId="52"/>
    <cellStyle name="Обычный 2 9" xfId="53"/>
    <cellStyle name="Обычный 20" xfId="54"/>
    <cellStyle name="Обычный 20 2" xfId="516"/>
    <cellStyle name="Обычный 21" xfId="55"/>
    <cellStyle name="Обычный 22" xfId="56"/>
    <cellStyle name="Обычный 23" xfId="57"/>
    <cellStyle name="Обычный 24" xfId="58"/>
    <cellStyle name="Обычный 25" xfId="517"/>
    <cellStyle name="Обычный 26" xfId="518"/>
    <cellStyle name="Обычный 26 2" xfId="519"/>
    <cellStyle name="Обычный 26 2 2" xfId="520"/>
    <cellStyle name="Обычный 26 2 3" xfId="521"/>
    <cellStyle name="Обычный 27" xfId="522"/>
    <cellStyle name="Обычный 28" xfId="523"/>
    <cellStyle name="Обычный 28 2" xfId="524"/>
    <cellStyle name="Обычный 28 2 2" xfId="525"/>
    <cellStyle name="Обычный 29" xfId="526"/>
    <cellStyle name="Обычный 3" xfId="59"/>
    <cellStyle name="Обычный 3 10" xfId="60"/>
    <cellStyle name="Обычный 3 11" xfId="61"/>
    <cellStyle name="Обычный 3 12" xfId="62"/>
    <cellStyle name="Обычный 3 13" xfId="63"/>
    <cellStyle name="Обычный 3 14" xfId="64"/>
    <cellStyle name="Обычный 3 15" xfId="65"/>
    <cellStyle name="Обычный 3 16" xfId="66"/>
    <cellStyle name="Обычный 3 17" xfId="67"/>
    <cellStyle name="Обычный 3 18" xfId="68"/>
    <cellStyle name="Обычный 3 19" xfId="69"/>
    <cellStyle name="Обычный 3 2" xfId="70"/>
    <cellStyle name="Обычный 3 2 2" xfId="71"/>
    <cellStyle name="Обычный 3 2 3" xfId="527"/>
    <cellStyle name="Обычный 3 20" xfId="72"/>
    <cellStyle name="Обычный 3 21" xfId="73"/>
    <cellStyle name="Обычный 3 22" xfId="74"/>
    <cellStyle name="Обычный 3 23" xfId="75"/>
    <cellStyle name="Обычный 3 24" xfId="76"/>
    <cellStyle name="Обычный 3 25" xfId="77"/>
    <cellStyle name="Обычный 3 26" xfId="78"/>
    <cellStyle name="Обычный 3 27" xfId="79"/>
    <cellStyle name="Обычный 3 28" xfId="80"/>
    <cellStyle name="Обычный 3 29" xfId="81"/>
    <cellStyle name="Обычный 3 3" xfId="82"/>
    <cellStyle name="Обычный 3 30" xfId="83"/>
    <cellStyle name="Обычный 3 31" xfId="4"/>
    <cellStyle name="Обычный 3 32" xfId="84"/>
    <cellStyle name="Обычный 3 33" xfId="85"/>
    <cellStyle name="Обычный 3 34" xfId="140"/>
    <cellStyle name="Обычный 3 4" xfId="86"/>
    <cellStyle name="Обычный 3 5" xfId="87"/>
    <cellStyle name="Обычный 3 6" xfId="88"/>
    <cellStyle name="Обычный 3 7" xfId="89"/>
    <cellStyle name="Обычный 3 8" xfId="90"/>
    <cellStyle name="Обычный 3 9" xfId="91"/>
    <cellStyle name="Обычный 30" xfId="528"/>
    <cellStyle name="Обычный 31" xfId="529"/>
    <cellStyle name="Обычный 32" xfId="530"/>
    <cellStyle name="Обычный 33" xfId="531"/>
    <cellStyle name="Обычный 34" xfId="532"/>
    <cellStyle name="Обычный 4" xfId="92"/>
    <cellStyle name="Обычный 4 10" xfId="93"/>
    <cellStyle name="Обычный 4 11" xfId="94"/>
    <cellStyle name="Обычный 4 12" xfId="95"/>
    <cellStyle name="Обычный 4 13" xfId="96"/>
    <cellStyle name="Обычный 4 14" xfId="97"/>
    <cellStyle name="Обычный 4 15" xfId="98"/>
    <cellStyle name="Обычный 4 16" xfId="99"/>
    <cellStyle name="Обычный 4 17" xfId="100"/>
    <cellStyle name="Обычный 4 18" xfId="101"/>
    <cellStyle name="Обычный 4 19" xfId="102"/>
    <cellStyle name="Обычный 4 2" xfId="103"/>
    <cellStyle name="Обычный 4 20" xfId="104"/>
    <cellStyle name="Обычный 4 21" xfId="105"/>
    <cellStyle name="Обычный 4 22" xfId="106"/>
    <cellStyle name="Обычный 4 23" xfId="107"/>
    <cellStyle name="Обычный 4 24" xfId="108"/>
    <cellStyle name="Обычный 4 25" xfId="109"/>
    <cellStyle name="Обычный 4 26" xfId="110"/>
    <cellStyle name="Обычный 4 27" xfId="111"/>
    <cellStyle name="Обычный 4 28" xfId="112"/>
    <cellStyle name="Обычный 4 29" xfId="113"/>
    <cellStyle name="Обычный 4 3" xfId="114"/>
    <cellStyle name="Обычный 4 30" xfId="115"/>
    <cellStyle name="Обычный 4 31" xfId="116"/>
    <cellStyle name="Обычный 4 31 2" xfId="533"/>
    <cellStyle name="Обычный 4 32" xfId="534"/>
    <cellStyle name="Обычный 4 4" xfId="117"/>
    <cellStyle name="Обычный 4 5" xfId="118"/>
    <cellStyle name="Обычный 4 6" xfId="119"/>
    <cellStyle name="Обычный 4 7" xfId="120"/>
    <cellStyle name="Обычный 4 8" xfId="121"/>
    <cellStyle name="Обычный 4 9" xfId="122"/>
    <cellStyle name="Обычный 5" xfId="123"/>
    <cellStyle name="Обычный 5 2" xfId="124"/>
    <cellStyle name="Обычный 5 3" xfId="125"/>
    <cellStyle name="Обычный 6" xfId="126"/>
    <cellStyle name="Обычный 6 2" xfId="535"/>
    <cellStyle name="Обычный 7" xfId="127"/>
    <cellStyle name="Обычный 7 2" xfId="536"/>
    <cellStyle name="Обычный 7 3" xfId="537"/>
    <cellStyle name="Обычный 8" xfId="128"/>
    <cellStyle name="Обычный 8 2" xfId="538"/>
    <cellStyle name="Обычный 9" xfId="129"/>
    <cellStyle name="Обычный_прил 7,9-2009-2010 нов классиф." xfId="7"/>
    <cellStyle name="Обычный_прилож 8,10 -2008г." xfId="5"/>
    <cellStyle name="Процентный 2" xfId="130"/>
    <cellStyle name="Тысячи [0]_перечис.11" xfId="131"/>
    <cellStyle name="Тысячи_перечис.11" xfId="132"/>
    <cellStyle name="Финансовый 10" xfId="539"/>
    <cellStyle name="Финансовый 11" xfId="540"/>
    <cellStyle name="Финансовый 12" xfId="541"/>
    <cellStyle name="Финансовый 13" xfId="133"/>
    <cellStyle name="Финансовый 14" xfId="542"/>
    <cellStyle name="Финансовый 2" xfId="134"/>
    <cellStyle name="Финансовый 3" xfId="135"/>
    <cellStyle name="Финансовый 3 2" xfId="10"/>
    <cellStyle name="Финансовый 3 3" xfId="136"/>
    <cellStyle name="Финансовый 3 4" xfId="543"/>
    <cellStyle name="Финансовый 4" xfId="137"/>
    <cellStyle name="Финансовый 5" xfId="138"/>
    <cellStyle name="Финансовый 6" xfId="544"/>
    <cellStyle name="Финансовый 7" xfId="545"/>
    <cellStyle name="Финансовый 8" xfId="546"/>
    <cellStyle name="Финансовый 8 2" xfId="547"/>
    <cellStyle name="Финансовый 8 2 2" xfId="548"/>
    <cellStyle name="Финансовый 9" xfId="1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150"/>
  <sheetViews>
    <sheetView topLeftCell="A95" zoomScaleNormal="100" workbookViewId="0">
      <selection activeCell="C2" sqref="C2:D2"/>
    </sheetView>
  </sheetViews>
  <sheetFormatPr defaultRowHeight="15.75" x14ac:dyDescent="0.25"/>
  <cols>
    <col min="1" max="1" width="66.42578125" style="99" customWidth="1"/>
    <col min="2" max="2" width="35.7109375" style="99" customWidth="1"/>
    <col min="3" max="3" width="19.28515625" style="100" customWidth="1"/>
    <col min="4" max="4" width="15.7109375" style="99" customWidth="1"/>
    <col min="5" max="16384" width="9.140625" style="99"/>
  </cols>
  <sheetData>
    <row r="1" spans="1:6" s="7" customFormat="1" ht="12.75" customHeight="1" x14ac:dyDescent="0.25">
      <c r="A1" s="17"/>
      <c r="C1" s="171" t="s">
        <v>911</v>
      </c>
      <c r="D1" s="172"/>
      <c r="E1" s="51"/>
      <c r="F1" s="165"/>
    </row>
    <row r="2" spans="1:6" s="7" customFormat="1" ht="42" customHeight="1" x14ac:dyDescent="0.25">
      <c r="A2" s="17"/>
      <c r="C2" s="173" t="s">
        <v>561</v>
      </c>
      <c r="D2" s="172"/>
      <c r="E2" s="79"/>
      <c r="F2" s="80"/>
    </row>
    <row r="3" spans="1:6" ht="14.25" customHeight="1" x14ac:dyDescent="0.25">
      <c r="A3" s="122"/>
      <c r="B3" s="122"/>
      <c r="C3" s="122"/>
    </row>
    <row r="4" spans="1:6" ht="39" customHeight="1" x14ac:dyDescent="0.25">
      <c r="A4" s="181" t="s">
        <v>912</v>
      </c>
      <c r="B4" s="181"/>
      <c r="C4" s="181"/>
      <c r="D4" s="181"/>
      <c r="E4" s="121"/>
      <c r="F4" s="121"/>
    </row>
    <row r="5" spans="1:6" ht="19.149999999999999" customHeight="1" x14ac:dyDescent="0.25">
      <c r="B5" s="120"/>
      <c r="C5" s="99"/>
      <c r="D5" s="119" t="s">
        <v>612</v>
      </c>
    </row>
    <row r="6" spans="1:6" ht="18.75" customHeight="1" x14ac:dyDescent="0.25">
      <c r="A6" s="177" t="s">
        <v>611</v>
      </c>
      <c r="B6" s="179" t="s">
        <v>610</v>
      </c>
      <c r="C6" s="174" t="s">
        <v>560</v>
      </c>
      <c r="D6" s="174" t="s">
        <v>559</v>
      </c>
      <c r="E6" s="176"/>
    </row>
    <row r="7" spans="1:6" ht="18.75" customHeight="1" x14ac:dyDescent="0.25">
      <c r="A7" s="178"/>
      <c r="B7" s="180"/>
      <c r="C7" s="175"/>
      <c r="D7" s="175"/>
      <c r="E7" s="176"/>
    </row>
    <row r="8" spans="1:6" ht="18.75" x14ac:dyDescent="0.25">
      <c r="A8" s="115" t="s">
        <v>609</v>
      </c>
      <c r="B8" s="114"/>
      <c r="C8" s="118">
        <f>-C9</f>
        <v>-39814.025240000003</v>
      </c>
      <c r="D8" s="118">
        <f>-D9</f>
        <v>-21089.375960000001</v>
      </c>
    </row>
    <row r="9" spans="1:6" ht="36.75" customHeight="1" x14ac:dyDescent="0.25">
      <c r="A9" s="115" t="s">
        <v>608</v>
      </c>
      <c r="B9" s="114" t="s">
        <v>575</v>
      </c>
      <c r="C9" s="118">
        <f>C16+C21+C28</f>
        <v>39814.025240000003</v>
      </c>
      <c r="D9" s="118">
        <f>D16+D21+D28</f>
        <v>21089.375960000001</v>
      </c>
    </row>
    <row r="10" spans="1:6" ht="15.75" hidden="1" customHeight="1" x14ac:dyDescent="0.25">
      <c r="A10" s="115" t="s">
        <v>598</v>
      </c>
      <c r="B10" s="114" t="s">
        <v>607</v>
      </c>
      <c r="C10" s="113">
        <f>C11+C13</f>
        <v>0</v>
      </c>
      <c r="D10" s="116"/>
    </row>
    <row r="11" spans="1:6" s="112" customFormat="1" ht="31.5" hidden="1" customHeight="1" x14ac:dyDescent="0.25">
      <c r="A11" s="109" t="s">
        <v>606</v>
      </c>
      <c r="B11" s="114" t="s">
        <v>605</v>
      </c>
      <c r="C11" s="111">
        <f>C12</f>
        <v>0</v>
      </c>
      <c r="D11" s="117"/>
    </row>
    <row r="12" spans="1:6" ht="31.5" hidden="1" customHeight="1" x14ac:dyDescent="0.25">
      <c r="A12" s="109" t="s">
        <v>604</v>
      </c>
      <c r="B12" s="114" t="s">
        <v>603</v>
      </c>
      <c r="C12" s="111"/>
      <c r="D12" s="116"/>
    </row>
    <row r="13" spans="1:6" ht="40.5" hidden="1" customHeight="1" x14ac:dyDescent="0.25">
      <c r="A13" s="109" t="s">
        <v>592</v>
      </c>
      <c r="B13" s="114" t="s">
        <v>602</v>
      </c>
      <c r="C13" s="111">
        <f>C14</f>
        <v>0</v>
      </c>
      <c r="D13" s="116"/>
    </row>
    <row r="14" spans="1:6" ht="43.5" hidden="1" customHeight="1" x14ac:dyDescent="0.25">
      <c r="A14" s="109" t="s">
        <v>601</v>
      </c>
      <c r="B14" s="114" t="s">
        <v>600</v>
      </c>
      <c r="C14" s="111"/>
      <c r="D14" s="116"/>
    </row>
    <row r="15" spans="1:6" ht="43.5" hidden="1" customHeight="1" x14ac:dyDescent="0.25">
      <c r="A15" s="115" t="s">
        <v>574</v>
      </c>
      <c r="B15" s="114" t="s">
        <v>599</v>
      </c>
      <c r="C15" s="113">
        <v>0</v>
      </c>
      <c r="D15" s="113">
        <v>0</v>
      </c>
    </row>
    <row r="16" spans="1:6" ht="30.75" customHeight="1" x14ac:dyDescent="0.25">
      <c r="A16" s="115" t="s">
        <v>598</v>
      </c>
      <c r="B16" s="114" t="s">
        <v>597</v>
      </c>
      <c r="C16" s="113">
        <f>C17-C19</f>
        <v>0</v>
      </c>
      <c r="D16" s="113">
        <f>D17-D19</f>
        <v>0</v>
      </c>
    </row>
    <row r="17" spans="1:4" s="112" customFormat="1" ht="56.25" customHeight="1" x14ac:dyDescent="0.25">
      <c r="A17" s="109" t="s">
        <v>596</v>
      </c>
      <c r="B17" s="108" t="s">
        <v>595</v>
      </c>
      <c r="C17" s="111">
        <f>C18</f>
        <v>0</v>
      </c>
      <c r="D17" s="111">
        <f>D18</f>
        <v>0</v>
      </c>
    </row>
    <row r="18" spans="1:4" ht="50.25" customHeight="1" x14ac:dyDescent="0.25">
      <c r="A18" s="109" t="s">
        <v>594</v>
      </c>
      <c r="B18" s="108" t="s">
        <v>593</v>
      </c>
      <c r="C18" s="111">
        <v>0</v>
      </c>
      <c r="D18" s="111">
        <v>0</v>
      </c>
    </row>
    <row r="19" spans="1:4" ht="44.25" customHeight="1" x14ac:dyDescent="0.25">
      <c r="A19" s="109" t="s">
        <v>592</v>
      </c>
      <c r="B19" s="108" t="s">
        <v>591</v>
      </c>
      <c r="C19" s="111">
        <f>C20</f>
        <v>0</v>
      </c>
      <c r="D19" s="111">
        <f>D20</f>
        <v>0</v>
      </c>
    </row>
    <row r="20" spans="1:4" ht="42" customHeight="1" x14ac:dyDescent="0.25">
      <c r="A20" s="109" t="s">
        <v>590</v>
      </c>
      <c r="B20" s="108" t="s">
        <v>589</v>
      </c>
      <c r="C20" s="111">
        <v>0</v>
      </c>
      <c r="D20" s="111">
        <v>0</v>
      </c>
    </row>
    <row r="21" spans="1:4" ht="41.25" customHeight="1" x14ac:dyDescent="0.25">
      <c r="A21" s="115" t="s">
        <v>588</v>
      </c>
      <c r="B21" s="114" t="s">
        <v>587</v>
      </c>
      <c r="C21" s="113">
        <f>C22-(-C25)</f>
        <v>-633</v>
      </c>
      <c r="D21" s="113">
        <f>D22-(-D25)</f>
        <v>-633</v>
      </c>
    </row>
    <row r="22" spans="1:4" s="112" customFormat="1" ht="75" customHeight="1" x14ac:dyDescent="0.25">
      <c r="A22" s="109" t="s">
        <v>586</v>
      </c>
      <c r="B22" s="108" t="s">
        <v>585</v>
      </c>
      <c r="C22" s="111">
        <f>C23</f>
        <v>0</v>
      </c>
      <c r="D22" s="111">
        <f>D23</f>
        <v>0</v>
      </c>
    </row>
    <row r="23" spans="1:4" ht="75" customHeight="1" x14ac:dyDescent="0.25">
      <c r="A23" s="109" t="s">
        <v>584</v>
      </c>
      <c r="B23" s="108" t="s">
        <v>582</v>
      </c>
      <c r="C23" s="111">
        <f>C24</f>
        <v>0</v>
      </c>
      <c r="D23" s="111">
        <f>D24</f>
        <v>0</v>
      </c>
    </row>
    <row r="24" spans="1:4" ht="86.25" customHeight="1" x14ac:dyDescent="0.25">
      <c r="A24" s="109" t="s">
        <v>583</v>
      </c>
      <c r="B24" s="108" t="s">
        <v>582</v>
      </c>
      <c r="C24" s="111">
        <v>0</v>
      </c>
      <c r="D24" s="111">
        <v>0</v>
      </c>
    </row>
    <row r="25" spans="1:4" ht="75" customHeight="1" x14ac:dyDescent="0.25">
      <c r="A25" s="109" t="s">
        <v>581</v>
      </c>
      <c r="B25" s="108" t="s">
        <v>580</v>
      </c>
      <c r="C25" s="111">
        <f>C26</f>
        <v>-633</v>
      </c>
      <c r="D25" s="111">
        <f>D26</f>
        <v>-633</v>
      </c>
    </row>
    <row r="26" spans="1:4" ht="75" customHeight="1" x14ac:dyDescent="0.25">
      <c r="A26" s="109" t="s">
        <v>579</v>
      </c>
      <c r="B26" s="108" t="s">
        <v>577</v>
      </c>
      <c r="C26" s="111">
        <f>C27</f>
        <v>-633</v>
      </c>
      <c r="D26" s="111">
        <f>D27</f>
        <v>-633</v>
      </c>
    </row>
    <row r="27" spans="1:4" ht="104.25" customHeight="1" x14ac:dyDescent="0.25">
      <c r="A27" s="109" t="s">
        <v>578</v>
      </c>
      <c r="B27" s="108" t="s">
        <v>577</v>
      </c>
      <c r="C27" s="111">
        <v>-633</v>
      </c>
      <c r="D27" s="111">
        <v>-633</v>
      </c>
    </row>
    <row r="28" spans="1:4" ht="18.75" x14ac:dyDescent="0.25">
      <c r="A28" s="109" t="s">
        <v>576</v>
      </c>
      <c r="B28" s="108" t="s">
        <v>575</v>
      </c>
      <c r="C28" s="111">
        <v>40447.025240000003</v>
      </c>
      <c r="D28" s="111">
        <v>21722.375960000001</v>
      </c>
    </row>
    <row r="29" spans="1:4" ht="31.5" hidden="1" x14ac:dyDescent="0.25">
      <c r="A29" s="109" t="s">
        <v>574</v>
      </c>
      <c r="B29" s="108" t="s">
        <v>573</v>
      </c>
      <c r="C29" s="107">
        <f t="shared" ref="C29:D32" si="0">C30</f>
        <v>25833.411459999999</v>
      </c>
      <c r="D29" s="107">
        <f t="shared" si="0"/>
        <v>-5086.5415700000003</v>
      </c>
    </row>
    <row r="30" spans="1:4" hidden="1" x14ac:dyDescent="0.25">
      <c r="A30" s="109" t="s">
        <v>572</v>
      </c>
      <c r="B30" s="108" t="s">
        <v>571</v>
      </c>
      <c r="C30" s="110">
        <f t="shared" si="0"/>
        <v>25833.411459999999</v>
      </c>
      <c r="D30" s="110">
        <f t="shared" si="0"/>
        <v>-5086.5415700000003</v>
      </c>
    </row>
    <row r="31" spans="1:4" hidden="1" x14ac:dyDescent="0.25">
      <c r="A31" s="109" t="s">
        <v>570</v>
      </c>
      <c r="B31" s="108" t="s">
        <v>568</v>
      </c>
      <c r="C31" s="107">
        <f t="shared" si="0"/>
        <v>25833.411459999999</v>
      </c>
      <c r="D31" s="107">
        <f t="shared" si="0"/>
        <v>-5086.5415700000003</v>
      </c>
    </row>
    <row r="32" spans="1:4" hidden="1" x14ac:dyDescent="0.25">
      <c r="A32" s="109" t="s">
        <v>569</v>
      </c>
      <c r="B32" s="108" t="s">
        <v>568</v>
      </c>
      <c r="C32" s="107">
        <f t="shared" si="0"/>
        <v>25833.411459999999</v>
      </c>
      <c r="D32" s="107">
        <f t="shared" si="0"/>
        <v>-5086.5415700000003</v>
      </c>
    </row>
    <row r="33" spans="1:4" ht="31.5" hidden="1" x14ac:dyDescent="0.25">
      <c r="A33" s="109" t="s">
        <v>567</v>
      </c>
      <c r="B33" s="108" t="s">
        <v>566</v>
      </c>
      <c r="C33" s="107">
        <v>25833.411459999999</v>
      </c>
      <c r="D33" s="107">
        <v>-5086.5415700000003</v>
      </c>
    </row>
    <row r="34" spans="1:4" x14ac:dyDescent="0.25">
      <c r="B34" s="106"/>
      <c r="C34" s="105"/>
    </row>
    <row r="35" spans="1:4" x14ac:dyDescent="0.25">
      <c r="B35" s="106"/>
      <c r="C35" s="105"/>
    </row>
    <row r="36" spans="1:4" x14ac:dyDescent="0.25">
      <c r="B36" s="106"/>
      <c r="C36" s="105"/>
    </row>
    <row r="37" spans="1:4" x14ac:dyDescent="0.25">
      <c r="B37" s="106"/>
      <c r="C37" s="105"/>
    </row>
    <row r="38" spans="1:4" x14ac:dyDescent="0.25">
      <c r="B38" s="104"/>
      <c r="C38" s="103"/>
    </row>
    <row r="39" spans="1:4" x14ac:dyDescent="0.25">
      <c r="B39" s="104"/>
      <c r="C39" s="103"/>
    </row>
    <row r="40" spans="1:4" x14ac:dyDescent="0.25">
      <c r="B40" s="104"/>
      <c r="C40" s="103"/>
    </row>
    <row r="41" spans="1:4" x14ac:dyDescent="0.25">
      <c r="C41" s="101"/>
    </row>
    <row r="42" spans="1:4" x14ac:dyDescent="0.25">
      <c r="C42" s="101"/>
    </row>
    <row r="43" spans="1:4" x14ac:dyDescent="0.25">
      <c r="C43" s="101"/>
    </row>
    <row r="44" spans="1:4" x14ac:dyDescent="0.25">
      <c r="C44" s="101"/>
    </row>
    <row r="45" spans="1:4" x14ac:dyDescent="0.25">
      <c r="C45" s="101"/>
    </row>
    <row r="46" spans="1:4" x14ac:dyDescent="0.25">
      <c r="C46" s="101"/>
    </row>
    <row r="47" spans="1:4" x14ac:dyDescent="0.25">
      <c r="C47" s="101"/>
    </row>
    <row r="48" spans="1:4" x14ac:dyDescent="0.25">
      <c r="C48" s="101"/>
    </row>
    <row r="49" spans="2:3" x14ac:dyDescent="0.25">
      <c r="C49" s="101"/>
    </row>
    <row r="50" spans="2:3" x14ac:dyDescent="0.25">
      <c r="C50" s="101"/>
    </row>
    <row r="51" spans="2:3" x14ac:dyDescent="0.25">
      <c r="B51" s="102"/>
      <c r="C51" s="101"/>
    </row>
    <row r="52" spans="2:3" x14ac:dyDescent="0.25">
      <c r="C52" s="101"/>
    </row>
    <row r="53" spans="2:3" x14ac:dyDescent="0.25">
      <c r="C53" s="101"/>
    </row>
    <row r="54" spans="2:3" x14ac:dyDescent="0.25">
      <c r="C54" s="101"/>
    </row>
    <row r="55" spans="2:3" x14ac:dyDescent="0.25">
      <c r="C55" s="101"/>
    </row>
    <row r="56" spans="2:3" x14ac:dyDescent="0.25">
      <c r="C56" s="101"/>
    </row>
    <row r="57" spans="2:3" x14ac:dyDescent="0.25">
      <c r="C57" s="101"/>
    </row>
    <row r="58" spans="2:3" x14ac:dyDescent="0.25">
      <c r="C58" s="101"/>
    </row>
    <row r="59" spans="2:3" x14ac:dyDescent="0.25">
      <c r="C59" s="101"/>
    </row>
    <row r="60" spans="2:3" x14ac:dyDescent="0.25">
      <c r="C60" s="101"/>
    </row>
    <row r="61" spans="2:3" x14ac:dyDescent="0.25">
      <c r="C61" s="101"/>
    </row>
    <row r="62" spans="2:3" x14ac:dyDescent="0.25">
      <c r="C62" s="101"/>
    </row>
    <row r="63" spans="2:3" x14ac:dyDescent="0.25">
      <c r="C63" s="101"/>
    </row>
    <row r="64" spans="2:3" x14ac:dyDescent="0.25">
      <c r="C64" s="101"/>
    </row>
    <row r="65" spans="3:3" x14ac:dyDescent="0.25">
      <c r="C65" s="101"/>
    </row>
    <row r="66" spans="3:3" x14ac:dyDescent="0.25">
      <c r="C66" s="101"/>
    </row>
    <row r="67" spans="3:3" x14ac:dyDescent="0.25">
      <c r="C67" s="101"/>
    </row>
    <row r="68" spans="3:3" x14ac:dyDescent="0.25">
      <c r="C68" s="101"/>
    </row>
    <row r="69" spans="3:3" x14ac:dyDescent="0.25">
      <c r="C69" s="101"/>
    </row>
    <row r="70" spans="3:3" x14ac:dyDescent="0.25">
      <c r="C70" s="101"/>
    </row>
    <row r="71" spans="3:3" x14ac:dyDescent="0.25">
      <c r="C71" s="101"/>
    </row>
    <row r="72" spans="3:3" x14ac:dyDescent="0.25">
      <c r="C72" s="101"/>
    </row>
    <row r="73" spans="3:3" x14ac:dyDescent="0.25">
      <c r="C73" s="101"/>
    </row>
    <row r="74" spans="3:3" x14ac:dyDescent="0.25">
      <c r="C74" s="101"/>
    </row>
    <row r="75" spans="3:3" x14ac:dyDescent="0.25">
      <c r="C75" s="101"/>
    </row>
    <row r="76" spans="3:3" x14ac:dyDescent="0.25">
      <c r="C76" s="101"/>
    </row>
    <row r="77" spans="3:3" x14ac:dyDescent="0.25">
      <c r="C77" s="101"/>
    </row>
    <row r="78" spans="3:3" x14ac:dyDescent="0.25">
      <c r="C78" s="101"/>
    </row>
    <row r="79" spans="3:3" x14ac:dyDescent="0.25">
      <c r="C79" s="101"/>
    </row>
    <row r="80" spans="3:3" x14ac:dyDescent="0.25">
      <c r="C80" s="101"/>
    </row>
    <row r="81" spans="3:3" x14ac:dyDescent="0.25">
      <c r="C81" s="101"/>
    </row>
    <row r="82" spans="3:3" x14ac:dyDescent="0.25">
      <c r="C82" s="101"/>
    </row>
    <row r="83" spans="3:3" x14ac:dyDescent="0.25">
      <c r="C83" s="101"/>
    </row>
    <row r="84" spans="3:3" x14ac:dyDescent="0.25">
      <c r="C84" s="101"/>
    </row>
    <row r="85" spans="3:3" x14ac:dyDescent="0.25">
      <c r="C85" s="101"/>
    </row>
    <row r="86" spans="3:3" x14ac:dyDescent="0.25">
      <c r="C86" s="101"/>
    </row>
    <row r="87" spans="3:3" x14ac:dyDescent="0.25">
      <c r="C87" s="101"/>
    </row>
    <row r="88" spans="3:3" x14ac:dyDescent="0.25">
      <c r="C88" s="101"/>
    </row>
    <row r="89" spans="3:3" x14ac:dyDescent="0.25">
      <c r="C89" s="101"/>
    </row>
    <row r="90" spans="3:3" x14ac:dyDescent="0.25">
      <c r="C90" s="101"/>
    </row>
    <row r="91" spans="3:3" x14ac:dyDescent="0.25">
      <c r="C91" s="101"/>
    </row>
    <row r="92" spans="3:3" x14ac:dyDescent="0.25">
      <c r="C92" s="101"/>
    </row>
    <row r="93" spans="3:3" x14ac:dyDescent="0.25">
      <c r="C93" s="101"/>
    </row>
    <row r="94" spans="3:3" x14ac:dyDescent="0.25">
      <c r="C94" s="101"/>
    </row>
    <row r="95" spans="3:3" x14ac:dyDescent="0.25">
      <c r="C95" s="101"/>
    </row>
    <row r="96" spans="3:3" x14ac:dyDescent="0.25">
      <c r="C96" s="101"/>
    </row>
    <row r="97" spans="3:3" x14ac:dyDescent="0.25">
      <c r="C97" s="101"/>
    </row>
    <row r="98" spans="3:3" x14ac:dyDescent="0.25">
      <c r="C98" s="101"/>
    </row>
    <row r="99" spans="3:3" x14ac:dyDescent="0.25">
      <c r="C99" s="101"/>
    </row>
    <row r="100" spans="3:3" x14ac:dyDescent="0.25">
      <c r="C100" s="101"/>
    </row>
    <row r="101" spans="3:3" x14ac:dyDescent="0.25">
      <c r="C101" s="101"/>
    </row>
    <row r="102" spans="3:3" x14ac:dyDescent="0.25">
      <c r="C102" s="101"/>
    </row>
    <row r="103" spans="3:3" x14ac:dyDescent="0.25">
      <c r="C103" s="101"/>
    </row>
    <row r="104" spans="3:3" x14ac:dyDescent="0.25">
      <c r="C104" s="101"/>
    </row>
    <row r="105" spans="3:3" x14ac:dyDescent="0.25">
      <c r="C105" s="101"/>
    </row>
    <row r="106" spans="3:3" x14ac:dyDescent="0.25">
      <c r="C106" s="101"/>
    </row>
    <row r="107" spans="3:3" x14ac:dyDescent="0.25">
      <c r="C107" s="101"/>
    </row>
    <row r="108" spans="3:3" x14ac:dyDescent="0.25">
      <c r="C108" s="101"/>
    </row>
    <row r="109" spans="3:3" x14ac:dyDescent="0.25">
      <c r="C109" s="101"/>
    </row>
    <row r="110" spans="3:3" x14ac:dyDescent="0.25">
      <c r="C110" s="101"/>
    </row>
    <row r="111" spans="3:3" x14ac:dyDescent="0.25">
      <c r="C111" s="101"/>
    </row>
    <row r="112" spans="3:3" x14ac:dyDescent="0.25">
      <c r="C112" s="101"/>
    </row>
    <row r="113" spans="3:3" x14ac:dyDescent="0.25">
      <c r="C113" s="101"/>
    </row>
    <row r="114" spans="3:3" x14ac:dyDescent="0.25">
      <c r="C114" s="101"/>
    </row>
    <row r="115" spans="3:3" x14ac:dyDescent="0.25">
      <c r="C115" s="101"/>
    </row>
    <row r="116" spans="3:3" x14ac:dyDescent="0.25">
      <c r="C116" s="101"/>
    </row>
    <row r="117" spans="3:3" x14ac:dyDescent="0.25">
      <c r="C117" s="101"/>
    </row>
    <row r="118" spans="3:3" x14ac:dyDescent="0.25">
      <c r="C118" s="101"/>
    </row>
    <row r="119" spans="3:3" x14ac:dyDescent="0.25">
      <c r="C119" s="101"/>
    </row>
    <row r="120" spans="3:3" x14ac:dyDescent="0.25">
      <c r="C120" s="101"/>
    </row>
    <row r="121" spans="3:3" x14ac:dyDescent="0.25">
      <c r="C121" s="101"/>
    </row>
    <row r="122" spans="3:3" x14ac:dyDescent="0.25">
      <c r="C122" s="101"/>
    </row>
    <row r="123" spans="3:3" x14ac:dyDescent="0.25">
      <c r="C123" s="101"/>
    </row>
    <row r="124" spans="3:3" x14ac:dyDescent="0.25">
      <c r="C124" s="101"/>
    </row>
    <row r="125" spans="3:3" x14ac:dyDescent="0.25">
      <c r="C125" s="101"/>
    </row>
    <row r="126" spans="3:3" x14ac:dyDescent="0.25">
      <c r="C126" s="101"/>
    </row>
    <row r="127" spans="3:3" x14ac:dyDescent="0.25">
      <c r="C127" s="101"/>
    </row>
    <row r="128" spans="3:3" x14ac:dyDescent="0.25">
      <c r="C128" s="101"/>
    </row>
    <row r="129" spans="3:3" x14ac:dyDescent="0.25">
      <c r="C129" s="101"/>
    </row>
    <row r="130" spans="3:3" x14ac:dyDescent="0.25">
      <c r="C130" s="101"/>
    </row>
    <row r="131" spans="3:3" x14ac:dyDescent="0.25">
      <c r="C131" s="101"/>
    </row>
    <row r="132" spans="3:3" x14ac:dyDescent="0.25">
      <c r="C132" s="101"/>
    </row>
    <row r="133" spans="3:3" x14ac:dyDescent="0.25">
      <c r="C133" s="101"/>
    </row>
    <row r="134" spans="3:3" x14ac:dyDescent="0.25">
      <c r="C134" s="101"/>
    </row>
    <row r="135" spans="3:3" x14ac:dyDescent="0.25">
      <c r="C135" s="101"/>
    </row>
    <row r="136" spans="3:3" x14ac:dyDescent="0.25">
      <c r="C136" s="101"/>
    </row>
    <row r="137" spans="3:3" x14ac:dyDescent="0.25">
      <c r="C137" s="101"/>
    </row>
    <row r="138" spans="3:3" x14ac:dyDescent="0.25">
      <c r="C138" s="101"/>
    </row>
    <row r="139" spans="3:3" x14ac:dyDescent="0.25">
      <c r="C139" s="101"/>
    </row>
    <row r="140" spans="3:3" x14ac:dyDescent="0.25">
      <c r="C140" s="101"/>
    </row>
    <row r="141" spans="3:3" x14ac:dyDescent="0.25">
      <c r="C141" s="101"/>
    </row>
    <row r="142" spans="3:3" x14ac:dyDescent="0.25">
      <c r="C142" s="101"/>
    </row>
    <row r="143" spans="3:3" x14ac:dyDescent="0.25">
      <c r="C143" s="101"/>
    </row>
    <row r="144" spans="3:3" x14ac:dyDescent="0.25">
      <c r="C144" s="101"/>
    </row>
    <row r="145" spans="3:3" x14ac:dyDescent="0.25">
      <c r="C145" s="101"/>
    </row>
    <row r="146" spans="3:3" x14ac:dyDescent="0.25">
      <c r="C146" s="101"/>
    </row>
    <row r="147" spans="3:3" x14ac:dyDescent="0.25">
      <c r="C147" s="101"/>
    </row>
    <row r="148" spans="3:3" x14ac:dyDescent="0.25">
      <c r="C148" s="101"/>
    </row>
    <row r="149" spans="3:3" x14ac:dyDescent="0.25">
      <c r="C149" s="101"/>
    </row>
    <row r="150" spans="3:3" x14ac:dyDescent="0.25">
      <c r="C150" s="101"/>
    </row>
  </sheetData>
  <mergeCells count="8">
    <mergeCell ref="C1:D1"/>
    <mergeCell ref="C2:D2"/>
    <mergeCell ref="D6:D7"/>
    <mergeCell ref="E6:E7"/>
    <mergeCell ref="A6:A7"/>
    <mergeCell ref="B6:B7"/>
    <mergeCell ref="C6:C7"/>
    <mergeCell ref="A4:D4"/>
  </mergeCells>
  <pageMargins left="0.9055118110236221" right="0" top="0.35433070866141736" bottom="0.35433070866141736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2"/>
  <sheetViews>
    <sheetView zoomScaleNormal="100" zoomScaleSheetLayoutView="100" workbookViewId="0">
      <selection activeCell="D3" sqref="D3:E3"/>
    </sheetView>
  </sheetViews>
  <sheetFormatPr defaultRowHeight="15.75" x14ac:dyDescent="0.25"/>
  <cols>
    <col min="1" max="1" width="33.140625" style="126" customWidth="1"/>
    <col min="2" max="2" width="69" style="125" customWidth="1"/>
    <col min="3" max="3" width="18.140625" style="124" customWidth="1"/>
    <col min="4" max="4" width="18.42578125" style="124" customWidth="1"/>
    <col min="5" max="5" width="13.7109375" style="124" customWidth="1"/>
    <col min="6" max="6" width="19.7109375" style="123" customWidth="1"/>
    <col min="7" max="7" width="17.28515625" style="123" bestFit="1" customWidth="1"/>
    <col min="8" max="8" width="22.5703125" style="123" bestFit="1" customWidth="1"/>
    <col min="9" max="208" width="9.140625" style="123"/>
    <col min="209" max="209" width="33.140625" style="123" customWidth="1"/>
    <col min="210" max="210" width="50.42578125" style="123" customWidth="1"/>
    <col min="211" max="211" width="0" style="123" hidden="1" customWidth="1"/>
    <col min="212" max="212" width="16.7109375" style="123" customWidth="1"/>
    <col min="213" max="213" width="19.85546875" style="123" customWidth="1"/>
    <col min="214" max="214" width="21.140625" style="123" customWidth="1"/>
    <col min="215" max="220" width="0" style="123" hidden="1" customWidth="1"/>
    <col min="221" max="221" width="14.85546875" style="123" bestFit="1" customWidth="1"/>
    <col min="222" max="222" width="16.28515625" style="123" customWidth="1"/>
    <col min="223" max="464" width="9.140625" style="123"/>
    <col min="465" max="465" width="33.140625" style="123" customWidth="1"/>
    <col min="466" max="466" width="50.42578125" style="123" customWidth="1"/>
    <col min="467" max="467" width="0" style="123" hidden="1" customWidth="1"/>
    <col min="468" max="468" width="16.7109375" style="123" customWidth="1"/>
    <col min="469" max="469" width="19.85546875" style="123" customWidth="1"/>
    <col min="470" max="470" width="21.140625" style="123" customWidth="1"/>
    <col min="471" max="476" width="0" style="123" hidden="1" customWidth="1"/>
    <col min="477" max="477" width="14.85546875" style="123" bestFit="1" customWidth="1"/>
    <col min="478" max="478" width="16.28515625" style="123" customWidth="1"/>
    <col min="479" max="720" width="9.140625" style="123"/>
    <col min="721" max="721" width="33.140625" style="123" customWidth="1"/>
    <col min="722" max="722" width="50.42578125" style="123" customWidth="1"/>
    <col min="723" max="723" width="0" style="123" hidden="1" customWidth="1"/>
    <col min="724" max="724" width="16.7109375" style="123" customWidth="1"/>
    <col min="725" max="725" width="19.85546875" style="123" customWidth="1"/>
    <col min="726" max="726" width="21.140625" style="123" customWidth="1"/>
    <col min="727" max="732" width="0" style="123" hidden="1" customWidth="1"/>
    <col min="733" max="733" width="14.85546875" style="123" bestFit="1" customWidth="1"/>
    <col min="734" max="734" width="16.28515625" style="123" customWidth="1"/>
    <col min="735" max="976" width="9.140625" style="123"/>
    <col min="977" max="977" width="33.140625" style="123" customWidth="1"/>
    <col min="978" max="978" width="50.42578125" style="123" customWidth="1"/>
    <col min="979" max="979" width="0" style="123" hidden="1" customWidth="1"/>
    <col min="980" max="980" width="16.7109375" style="123" customWidth="1"/>
    <col min="981" max="981" width="19.85546875" style="123" customWidth="1"/>
    <col min="982" max="982" width="21.140625" style="123" customWidth="1"/>
    <col min="983" max="988" width="0" style="123" hidden="1" customWidth="1"/>
    <col min="989" max="989" width="14.85546875" style="123" bestFit="1" customWidth="1"/>
    <col min="990" max="990" width="16.28515625" style="123" customWidth="1"/>
    <col min="991" max="1232" width="9.140625" style="123"/>
    <col min="1233" max="1233" width="33.140625" style="123" customWidth="1"/>
    <col min="1234" max="1234" width="50.42578125" style="123" customWidth="1"/>
    <col min="1235" max="1235" width="0" style="123" hidden="1" customWidth="1"/>
    <col min="1236" max="1236" width="16.7109375" style="123" customWidth="1"/>
    <col min="1237" max="1237" width="19.85546875" style="123" customWidth="1"/>
    <col min="1238" max="1238" width="21.140625" style="123" customWidth="1"/>
    <col min="1239" max="1244" width="0" style="123" hidden="1" customWidth="1"/>
    <col min="1245" max="1245" width="14.85546875" style="123" bestFit="1" customWidth="1"/>
    <col min="1246" max="1246" width="16.28515625" style="123" customWidth="1"/>
    <col min="1247" max="1488" width="9.140625" style="123"/>
    <col min="1489" max="1489" width="33.140625" style="123" customWidth="1"/>
    <col min="1490" max="1490" width="50.42578125" style="123" customWidth="1"/>
    <col min="1491" max="1491" width="0" style="123" hidden="1" customWidth="1"/>
    <col min="1492" max="1492" width="16.7109375" style="123" customWidth="1"/>
    <col min="1493" max="1493" width="19.85546875" style="123" customWidth="1"/>
    <col min="1494" max="1494" width="21.140625" style="123" customWidth="1"/>
    <col min="1495" max="1500" width="0" style="123" hidden="1" customWidth="1"/>
    <col min="1501" max="1501" width="14.85546875" style="123" bestFit="1" customWidth="1"/>
    <col min="1502" max="1502" width="16.28515625" style="123" customWidth="1"/>
    <col min="1503" max="1744" width="9.140625" style="123"/>
    <col min="1745" max="1745" width="33.140625" style="123" customWidth="1"/>
    <col min="1746" max="1746" width="50.42578125" style="123" customWidth="1"/>
    <col min="1747" max="1747" width="0" style="123" hidden="1" customWidth="1"/>
    <col min="1748" max="1748" width="16.7109375" style="123" customWidth="1"/>
    <col min="1749" max="1749" width="19.85546875" style="123" customWidth="1"/>
    <col min="1750" max="1750" width="21.140625" style="123" customWidth="1"/>
    <col min="1751" max="1756" width="0" style="123" hidden="1" customWidth="1"/>
    <col min="1757" max="1757" width="14.85546875" style="123" bestFit="1" customWidth="1"/>
    <col min="1758" max="1758" width="16.28515625" style="123" customWidth="1"/>
    <col min="1759" max="2000" width="9.140625" style="123"/>
    <col min="2001" max="2001" width="33.140625" style="123" customWidth="1"/>
    <col min="2002" max="2002" width="50.42578125" style="123" customWidth="1"/>
    <col min="2003" max="2003" width="0" style="123" hidden="1" customWidth="1"/>
    <col min="2004" max="2004" width="16.7109375" style="123" customWidth="1"/>
    <col min="2005" max="2005" width="19.85546875" style="123" customWidth="1"/>
    <col min="2006" max="2006" width="21.140625" style="123" customWidth="1"/>
    <col min="2007" max="2012" width="0" style="123" hidden="1" customWidth="1"/>
    <col min="2013" max="2013" width="14.85546875" style="123" bestFit="1" customWidth="1"/>
    <col min="2014" max="2014" width="16.28515625" style="123" customWidth="1"/>
    <col min="2015" max="2256" width="9.140625" style="123"/>
    <col min="2257" max="2257" width="33.140625" style="123" customWidth="1"/>
    <col min="2258" max="2258" width="50.42578125" style="123" customWidth="1"/>
    <col min="2259" max="2259" width="0" style="123" hidden="1" customWidth="1"/>
    <col min="2260" max="2260" width="16.7109375" style="123" customWidth="1"/>
    <col min="2261" max="2261" width="19.85546875" style="123" customWidth="1"/>
    <col min="2262" max="2262" width="21.140625" style="123" customWidth="1"/>
    <col min="2263" max="2268" width="0" style="123" hidden="1" customWidth="1"/>
    <col min="2269" max="2269" width="14.85546875" style="123" bestFit="1" customWidth="1"/>
    <col min="2270" max="2270" width="16.28515625" style="123" customWidth="1"/>
    <col min="2271" max="2512" width="9.140625" style="123"/>
    <col min="2513" max="2513" width="33.140625" style="123" customWidth="1"/>
    <col min="2514" max="2514" width="50.42578125" style="123" customWidth="1"/>
    <col min="2515" max="2515" width="0" style="123" hidden="1" customWidth="1"/>
    <col min="2516" max="2516" width="16.7109375" style="123" customWidth="1"/>
    <col min="2517" max="2517" width="19.85546875" style="123" customWidth="1"/>
    <col min="2518" max="2518" width="21.140625" style="123" customWidth="1"/>
    <col min="2519" max="2524" width="0" style="123" hidden="1" customWidth="1"/>
    <col min="2525" max="2525" width="14.85546875" style="123" bestFit="1" customWidth="1"/>
    <col min="2526" max="2526" width="16.28515625" style="123" customWidth="1"/>
    <col min="2527" max="2768" width="9.140625" style="123"/>
    <col min="2769" max="2769" width="33.140625" style="123" customWidth="1"/>
    <col min="2770" max="2770" width="50.42578125" style="123" customWidth="1"/>
    <col min="2771" max="2771" width="0" style="123" hidden="1" customWidth="1"/>
    <col min="2772" max="2772" width="16.7109375" style="123" customWidth="1"/>
    <col min="2773" max="2773" width="19.85546875" style="123" customWidth="1"/>
    <col min="2774" max="2774" width="21.140625" style="123" customWidth="1"/>
    <col min="2775" max="2780" width="0" style="123" hidden="1" customWidth="1"/>
    <col min="2781" max="2781" width="14.85546875" style="123" bestFit="1" customWidth="1"/>
    <col min="2782" max="2782" width="16.28515625" style="123" customWidth="1"/>
    <col min="2783" max="3024" width="9.140625" style="123"/>
    <col min="3025" max="3025" width="33.140625" style="123" customWidth="1"/>
    <col min="3026" max="3026" width="50.42578125" style="123" customWidth="1"/>
    <col min="3027" max="3027" width="0" style="123" hidden="1" customWidth="1"/>
    <col min="3028" max="3028" width="16.7109375" style="123" customWidth="1"/>
    <col min="3029" max="3029" width="19.85546875" style="123" customWidth="1"/>
    <col min="3030" max="3030" width="21.140625" style="123" customWidth="1"/>
    <col min="3031" max="3036" width="0" style="123" hidden="1" customWidth="1"/>
    <col min="3037" max="3037" width="14.85546875" style="123" bestFit="1" customWidth="1"/>
    <col min="3038" max="3038" width="16.28515625" style="123" customWidth="1"/>
    <col min="3039" max="3280" width="9.140625" style="123"/>
    <col min="3281" max="3281" width="33.140625" style="123" customWidth="1"/>
    <col min="3282" max="3282" width="50.42578125" style="123" customWidth="1"/>
    <col min="3283" max="3283" width="0" style="123" hidden="1" customWidth="1"/>
    <col min="3284" max="3284" width="16.7109375" style="123" customWidth="1"/>
    <col min="3285" max="3285" width="19.85546875" style="123" customWidth="1"/>
    <col min="3286" max="3286" width="21.140625" style="123" customWidth="1"/>
    <col min="3287" max="3292" width="0" style="123" hidden="1" customWidth="1"/>
    <col min="3293" max="3293" width="14.85546875" style="123" bestFit="1" customWidth="1"/>
    <col min="3294" max="3294" width="16.28515625" style="123" customWidth="1"/>
    <col min="3295" max="3536" width="9.140625" style="123"/>
    <col min="3537" max="3537" width="33.140625" style="123" customWidth="1"/>
    <col min="3538" max="3538" width="50.42578125" style="123" customWidth="1"/>
    <col min="3539" max="3539" width="0" style="123" hidden="1" customWidth="1"/>
    <col min="3540" max="3540" width="16.7109375" style="123" customWidth="1"/>
    <col min="3541" max="3541" width="19.85546875" style="123" customWidth="1"/>
    <col min="3542" max="3542" width="21.140625" style="123" customWidth="1"/>
    <col min="3543" max="3548" width="0" style="123" hidden="1" customWidth="1"/>
    <col min="3549" max="3549" width="14.85546875" style="123" bestFit="1" customWidth="1"/>
    <col min="3550" max="3550" width="16.28515625" style="123" customWidth="1"/>
    <col min="3551" max="3792" width="9.140625" style="123"/>
    <col min="3793" max="3793" width="33.140625" style="123" customWidth="1"/>
    <col min="3794" max="3794" width="50.42578125" style="123" customWidth="1"/>
    <col min="3795" max="3795" width="0" style="123" hidden="1" customWidth="1"/>
    <col min="3796" max="3796" width="16.7109375" style="123" customWidth="1"/>
    <col min="3797" max="3797" width="19.85546875" style="123" customWidth="1"/>
    <col min="3798" max="3798" width="21.140625" style="123" customWidth="1"/>
    <col min="3799" max="3804" width="0" style="123" hidden="1" customWidth="1"/>
    <col min="3805" max="3805" width="14.85546875" style="123" bestFit="1" customWidth="1"/>
    <col min="3806" max="3806" width="16.28515625" style="123" customWidth="1"/>
    <col min="3807" max="4048" width="9.140625" style="123"/>
    <col min="4049" max="4049" width="33.140625" style="123" customWidth="1"/>
    <col min="4050" max="4050" width="50.42578125" style="123" customWidth="1"/>
    <col min="4051" max="4051" width="0" style="123" hidden="1" customWidth="1"/>
    <col min="4052" max="4052" width="16.7109375" style="123" customWidth="1"/>
    <col min="4053" max="4053" width="19.85546875" style="123" customWidth="1"/>
    <col min="4054" max="4054" width="21.140625" style="123" customWidth="1"/>
    <col min="4055" max="4060" width="0" style="123" hidden="1" customWidth="1"/>
    <col min="4061" max="4061" width="14.85546875" style="123" bestFit="1" customWidth="1"/>
    <col min="4062" max="4062" width="16.28515625" style="123" customWidth="1"/>
    <col min="4063" max="4304" width="9.140625" style="123"/>
    <col min="4305" max="4305" width="33.140625" style="123" customWidth="1"/>
    <col min="4306" max="4306" width="50.42578125" style="123" customWidth="1"/>
    <col min="4307" max="4307" width="0" style="123" hidden="1" customWidth="1"/>
    <col min="4308" max="4308" width="16.7109375" style="123" customWidth="1"/>
    <col min="4309" max="4309" width="19.85546875" style="123" customWidth="1"/>
    <col min="4310" max="4310" width="21.140625" style="123" customWidth="1"/>
    <col min="4311" max="4316" width="0" style="123" hidden="1" customWidth="1"/>
    <col min="4317" max="4317" width="14.85546875" style="123" bestFit="1" customWidth="1"/>
    <col min="4318" max="4318" width="16.28515625" style="123" customWidth="1"/>
    <col min="4319" max="4560" width="9.140625" style="123"/>
    <col min="4561" max="4561" width="33.140625" style="123" customWidth="1"/>
    <col min="4562" max="4562" width="50.42578125" style="123" customWidth="1"/>
    <col min="4563" max="4563" width="0" style="123" hidden="1" customWidth="1"/>
    <col min="4564" max="4564" width="16.7109375" style="123" customWidth="1"/>
    <col min="4565" max="4565" width="19.85546875" style="123" customWidth="1"/>
    <col min="4566" max="4566" width="21.140625" style="123" customWidth="1"/>
    <col min="4567" max="4572" width="0" style="123" hidden="1" customWidth="1"/>
    <col min="4573" max="4573" width="14.85546875" style="123" bestFit="1" customWidth="1"/>
    <col min="4574" max="4574" width="16.28515625" style="123" customWidth="1"/>
    <col min="4575" max="4816" width="9.140625" style="123"/>
    <col min="4817" max="4817" width="33.140625" style="123" customWidth="1"/>
    <col min="4818" max="4818" width="50.42578125" style="123" customWidth="1"/>
    <col min="4819" max="4819" width="0" style="123" hidden="1" customWidth="1"/>
    <col min="4820" max="4820" width="16.7109375" style="123" customWidth="1"/>
    <col min="4821" max="4821" width="19.85546875" style="123" customWidth="1"/>
    <col min="4822" max="4822" width="21.140625" style="123" customWidth="1"/>
    <col min="4823" max="4828" width="0" style="123" hidden="1" customWidth="1"/>
    <col min="4829" max="4829" width="14.85546875" style="123" bestFit="1" customWidth="1"/>
    <col min="4830" max="4830" width="16.28515625" style="123" customWidth="1"/>
    <col min="4831" max="5072" width="9.140625" style="123"/>
    <col min="5073" max="5073" width="33.140625" style="123" customWidth="1"/>
    <col min="5074" max="5074" width="50.42578125" style="123" customWidth="1"/>
    <col min="5075" max="5075" width="0" style="123" hidden="1" customWidth="1"/>
    <col min="5076" max="5076" width="16.7109375" style="123" customWidth="1"/>
    <col min="5077" max="5077" width="19.85546875" style="123" customWidth="1"/>
    <col min="5078" max="5078" width="21.140625" style="123" customWidth="1"/>
    <col min="5079" max="5084" width="0" style="123" hidden="1" customWidth="1"/>
    <col min="5085" max="5085" width="14.85546875" style="123" bestFit="1" customWidth="1"/>
    <col min="5086" max="5086" width="16.28515625" style="123" customWidth="1"/>
    <col min="5087" max="5328" width="9.140625" style="123"/>
    <col min="5329" max="5329" width="33.140625" style="123" customWidth="1"/>
    <col min="5330" max="5330" width="50.42578125" style="123" customWidth="1"/>
    <col min="5331" max="5331" width="0" style="123" hidden="1" customWidth="1"/>
    <col min="5332" max="5332" width="16.7109375" style="123" customWidth="1"/>
    <col min="5333" max="5333" width="19.85546875" style="123" customWidth="1"/>
    <col min="5334" max="5334" width="21.140625" style="123" customWidth="1"/>
    <col min="5335" max="5340" width="0" style="123" hidden="1" customWidth="1"/>
    <col min="5341" max="5341" width="14.85546875" style="123" bestFit="1" customWidth="1"/>
    <col min="5342" max="5342" width="16.28515625" style="123" customWidth="1"/>
    <col min="5343" max="5584" width="9.140625" style="123"/>
    <col min="5585" max="5585" width="33.140625" style="123" customWidth="1"/>
    <col min="5586" max="5586" width="50.42578125" style="123" customWidth="1"/>
    <col min="5587" max="5587" width="0" style="123" hidden="1" customWidth="1"/>
    <col min="5588" max="5588" width="16.7109375" style="123" customWidth="1"/>
    <col min="5589" max="5589" width="19.85546875" style="123" customWidth="1"/>
    <col min="5590" max="5590" width="21.140625" style="123" customWidth="1"/>
    <col min="5591" max="5596" width="0" style="123" hidden="1" customWidth="1"/>
    <col min="5597" max="5597" width="14.85546875" style="123" bestFit="1" customWidth="1"/>
    <col min="5598" max="5598" width="16.28515625" style="123" customWidth="1"/>
    <col min="5599" max="5840" width="9.140625" style="123"/>
    <col min="5841" max="5841" width="33.140625" style="123" customWidth="1"/>
    <col min="5842" max="5842" width="50.42578125" style="123" customWidth="1"/>
    <col min="5843" max="5843" width="0" style="123" hidden="1" customWidth="1"/>
    <col min="5844" max="5844" width="16.7109375" style="123" customWidth="1"/>
    <col min="5845" max="5845" width="19.85546875" style="123" customWidth="1"/>
    <col min="5846" max="5846" width="21.140625" style="123" customWidth="1"/>
    <col min="5847" max="5852" width="0" style="123" hidden="1" customWidth="1"/>
    <col min="5853" max="5853" width="14.85546875" style="123" bestFit="1" customWidth="1"/>
    <col min="5854" max="5854" width="16.28515625" style="123" customWidth="1"/>
    <col min="5855" max="6096" width="9.140625" style="123"/>
    <col min="6097" max="6097" width="33.140625" style="123" customWidth="1"/>
    <col min="6098" max="6098" width="50.42578125" style="123" customWidth="1"/>
    <col min="6099" max="6099" width="0" style="123" hidden="1" customWidth="1"/>
    <col min="6100" max="6100" width="16.7109375" style="123" customWidth="1"/>
    <col min="6101" max="6101" width="19.85546875" style="123" customWidth="1"/>
    <col min="6102" max="6102" width="21.140625" style="123" customWidth="1"/>
    <col min="6103" max="6108" width="0" style="123" hidden="1" customWidth="1"/>
    <col min="6109" max="6109" width="14.85546875" style="123" bestFit="1" customWidth="1"/>
    <col min="6110" max="6110" width="16.28515625" style="123" customWidth="1"/>
    <col min="6111" max="6352" width="9.140625" style="123"/>
    <col min="6353" max="6353" width="33.140625" style="123" customWidth="1"/>
    <col min="6354" max="6354" width="50.42578125" style="123" customWidth="1"/>
    <col min="6355" max="6355" width="0" style="123" hidden="1" customWidth="1"/>
    <col min="6356" max="6356" width="16.7109375" style="123" customWidth="1"/>
    <col min="6357" max="6357" width="19.85546875" style="123" customWidth="1"/>
    <col min="6358" max="6358" width="21.140625" style="123" customWidth="1"/>
    <col min="6359" max="6364" width="0" style="123" hidden="1" customWidth="1"/>
    <col min="6365" max="6365" width="14.85546875" style="123" bestFit="1" customWidth="1"/>
    <col min="6366" max="6366" width="16.28515625" style="123" customWidth="1"/>
    <col min="6367" max="6608" width="9.140625" style="123"/>
    <col min="6609" max="6609" width="33.140625" style="123" customWidth="1"/>
    <col min="6610" max="6610" width="50.42578125" style="123" customWidth="1"/>
    <col min="6611" max="6611" width="0" style="123" hidden="1" customWidth="1"/>
    <col min="6612" max="6612" width="16.7109375" style="123" customWidth="1"/>
    <col min="6613" max="6613" width="19.85546875" style="123" customWidth="1"/>
    <col min="6614" max="6614" width="21.140625" style="123" customWidth="1"/>
    <col min="6615" max="6620" width="0" style="123" hidden="1" customWidth="1"/>
    <col min="6621" max="6621" width="14.85546875" style="123" bestFit="1" customWidth="1"/>
    <col min="6622" max="6622" width="16.28515625" style="123" customWidth="1"/>
    <col min="6623" max="6864" width="9.140625" style="123"/>
    <col min="6865" max="6865" width="33.140625" style="123" customWidth="1"/>
    <col min="6866" max="6866" width="50.42578125" style="123" customWidth="1"/>
    <col min="6867" max="6867" width="0" style="123" hidden="1" customWidth="1"/>
    <col min="6868" max="6868" width="16.7109375" style="123" customWidth="1"/>
    <col min="6869" max="6869" width="19.85546875" style="123" customWidth="1"/>
    <col min="6870" max="6870" width="21.140625" style="123" customWidth="1"/>
    <col min="6871" max="6876" width="0" style="123" hidden="1" customWidth="1"/>
    <col min="6877" max="6877" width="14.85546875" style="123" bestFit="1" customWidth="1"/>
    <col min="6878" max="6878" width="16.28515625" style="123" customWidth="1"/>
    <col min="6879" max="7120" width="9.140625" style="123"/>
    <col min="7121" max="7121" width="33.140625" style="123" customWidth="1"/>
    <col min="7122" max="7122" width="50.42578125" style="123" customWidth="1"/>
    <col min="7123" max="7123" width="0" style="123" hidden="1" customWidth="1"/>
    <col min="7124" max="7124" width="16.7109375" style="123" customWidth="1"/>
    <col min="7125" max="7125" width="19.85546875" style="123" customWidth="1"/>
    <col min="7126" max="7126" width="21.140625" style="123" customWidth="1"/>
    <col min="7127" max="7132" width="0" style="123" hidden="1" customWidth="1"/>
    <col min="7133" max="7133" width="14.85546875" style="123" bestFit="1" customWidth="1"/>
    <col min="7134" max="7134" width="16.28515625" style="123" customWidth="1"/>
    <col min="7135" max="7376" width="9.140625" style="123"/>
    <col min="7377" max="7377" width="33.140625" style="123" customWidth="1"/>
    <col min="7378" max="7378" width="50.42578125" style="123" customWidth="1"/>
    <col min="7379" max="7379" width="0" style="123" hidden="1" customWidth="1"/>
    <col min="7380" max="7380" width="16.7109375" style="123" customWidth="1"/>
    <col min="7381" max="7381" width="19.85546875" style="123" customWidth="1"/>
    <col min="7382" max="7382" width="21.140625" style="123" customWidth="1"/>
    <col min="7383" max="7388" width="0" style="123" hidden="1" customWidth="1"/>
    <col min="7389" max="7389" width="14.85546875" style="123" bestFit="1" customWidth="1"/>
    <col min="7390" max="7390" width="16.28515625" style="123" customWidth="1"/>
    <col min="7391" max="7632" width="9.140625" style="123"/>
    <col min="7633" max="7633" width="33.140625" style="123" customWidth="1"/>
    <col min="7634" max="7634" width="50.42578125" style="123" customWidth="1"/>
    <col min="7635" max="7635" width="0" style="123" hidden="1" customWidth="1"/>
    <col min="7636" max="7636" width="16.7109375" style="123" customWidth="1"/>
    <col min="7637" max="7637" width="19.85546875" style="123" customWidth="1"/>
    <col min="7638" max="7638" width="21.140625" style="123" customWidth="1"/>
    <col min="7639" max="7644" width="0" style="123" hidden="1" customWidth="1"/>
    <col min="7645" max="7645" width="14.85546875" style="123" bestFit="1" customWidth="1"/>
    <col min="7646" max="7646" width="16.28515625" style="123" customWidth="1"/>
    <col min="7647" max="7888" width="9.140625" style="123"/>
    <col min="7889" max="7889" width="33.140625" style="123" customWidth="1"/>
    <col min="7890" max="7890" width="50.42578125" style="123" customWidth="1"/>
    <col min="7891" max="7891" width="0" style="123" hidden="1" customWidth="1"/>
    <col min="7892" max="7892" width="16.7109375" style="123" customWidth="1"/>
    <col min="7893" max="7893" width="19.85546875" style="123" customWidth="1"/>
    <col min="7894" max="7894" width="21.140625" style="123" customWidth="1"/>
    <col min="7895" max="7900" width="0" style="123" hidden="1" customWidth="1"/>
    <col min="7901" max="7901" width="14.85546875" style="123" bestFit="1" customWidth="1"/>
    <col min="7902" max="7902" width="16.28515625" style="123" customWidth="1"/>
    <col min="7903" max="8144" width="9.140625" style="123"/>
    <col min="8145" max="8145" width="33.140625" style="123" customWidth="1"/>
    <col min="8146" max="8146" width="50.42578125" style="123" customWidth="1"/>
    <col min="8147" max="8147" width="0" style="123" hidden="1" customWidth="1"/>
    <col min="8148" max="8148" width="16.7109375" style="123" customWidth="1"/>
    <col min="8149" max="8149" width="19.85546875" style="123" customWidth="1"/>
    <col min="8150" max="8150" width="21.140625" style="123" customWidth="1"/>
    <col min="8151" max="8156" width="0" style="123" hidden="1" customWidth="1"/>
    <col min="8157" max="8157" width="14.85546875" style="123" bestFit="1" customWidth="1"/>
    <col min="8158" max="8158" width="16.28515625" style="123" customWidth="1"/>
    <col min="8159" max="8400" width="9.140625" style="123"/>
    <col min="8401" max="8401" width="33.140625" style="123" customWidth="1"/>
    <col min="8402" max="8402" width="50.42578125" style="123" customWidth="1"/>
    <col min="8403" max="8403" width="0" style="123" hidden="1" customWidth="1"/>
    <col min="8404" max="8404" width="16.7109375" style="123" customWidth="1"/>
    <col min="8405" max="8405" width="19.85546875" style="123" customWidth="1"/>
    <col min="8406" max="8406" width="21.140625" style="123" customWidth="1"/>
    <col min="8407" max="8412" width="0" style="123" hidden="1" customWidth="1"/>
    <col min="8413" max="8413" width="14.85546875" style="123" bestFit="1" customWidth="1"/>
    <col min="8414" max="8414" width="16.28515625" style="123" customWidth="1"/>
    <col min="8415" max="8656" width="9.140625" style="123"/>
    <col min="8657" max="8657" width="33.140625" style="123" customWidth="1"/>
    <col min="8658" max="8658" width="50.42578125" style="123" customWidth="1"/>
    <col min="8659" max="8659" width="0" style="123" hidden="1" customWidth="1"/>
    <col min="8660" max="8660" width="16.7109375" style="123" customWidth="1"/>
    <col min="8661" max="8661" width="19.85546875" style="123" customWidth="1"/>
    <col min="8662" max="8662" width="21.140625" style="123" customWidth="1"/>
    <col min="8663" max="8668" width="0" style="123" hidden="1" customWidth="1"/>
    <col min="8669" max="8669" width="14.85546875" style="123" bestFit="1" customWidth="1"/>
    <col min="8670" max="8670" width="16.28515625" style="123" customWidth="1"/>
    <col min="8671" max="8912" width="9.140625" style="123"/>
    <col min="8913" max="8913" width="33.140625" style="123" customWidth="1"/>
    <col min="8914" max="8914" width="50.42578125" style="123" customWidth="1"/>
    <col min="8915" max="8915" width="0" style="123" hidden="1" customWidth="1"/>
    <col min="8916" max="8916" width="16.7109375" style="123" customWidth="1"/>
    <col min="8917" max="8917" width="19.85546875" style="123" customWidth="1"/>
    <col min="8918" max="8918" width="21.140625" style="123" customWidth="1"/>
    <col min="8919" max="8924" width="0" style="123" hidden="1" customWidth="1"/>
    <col min="8925" max="8925" width="14.85546875" style="123" bestFit="1" customWidth="1"/>
    <col min="8926" max="8926" width="16.28515625" style="123" customWidth="1"/>
    <col min="8927" max="9168" width="9.140625" style="123"/>
    <col min="9169" max="9169" width="33.140625" style="123" customWidth="1"/>
    <col min="9170" max="9170" width="50.42578125" style="123" customWidth="1"/>
    <col min="9171" max="9171" width="0" style="123" hidden="1" customWidth="1"/>
    <col min="9172" max="9172" width="16.7109375" style="123" customWidth="1"/>
    <col min="9173" max="9173" width="19.85546875" style="123" customWidth="1"/>
    <col min="9174" max="9174" width="21.140625" style="123" customWidth="1"/>
    <col min="9175" max="9180" width="0" style="123" hidden="1" customWidth="1"/>
    <col min="9181" max="9181" width="14.85546875" style="123" bestFit="1" customWidth="1"/>
    <col min="9182" max="9182" width="16.28515625" style="123" customWidth="1"/>
    <col min="9183" max="9424" width="9.140625" style="123"/>
    <col min="9425" max="9425" width="33.140625" style="123" customWidth="1"/>
    <col min="9426" max="9426" width="50.42578125" style="123" customWidth="1"/>
    <col min="9427" max="9427" width="0" style="123" hidden="1" customWidth="1"/>
    <col min="9428" max="9428" width="16.7109375" style="123" customWidth="1"/>
    <col min="9429" max="9429" width="19.85546875" style="123" customWidth="1"/>
    <col min="9430" max="9430" width="21.140625" style="123" customWidth="1"/>
    <col min="9431" max="9436" width="0" style="123" hidden="1" customWidth="1"/>
    <col min="9437" max="9437" width="14.85546875" style="123" bestFit="1" customWidth="1"/>
    <col min="9438" max="9438" width="16.28515625" style="123" customWidth="1"/>
    <col min="9439" max="9680" width="9.140625" style="123"/>
    <col min="9681" max="9681" width="33.140625" style="123" customWidth="1"/>
    <col min="9682" max="9682" width="50.42578125" style="123" customWidth="1"/>
    <col min="9683" max="9683" width="0" style="123" hidden="1" customWidth="1"/>
    <col min="9684" max="9684" width="16.7109375" style="123" customWidth="1"/>
    <col min="9685" max="9685" width="19.85546875" style="123" customWidth="1"/>
    <col min="9686" max="9686" width="21.140625" style="123" customWidth="1"/>
    <col min="9687" max="9692" width="0" style="123" hidden="1" customWidth="1"/>
    <col min="9693" max="9693" width="14.85546875" style="123" bestFit="1" customWidth="1"/>
    <col min="9694" max="9694" width="16.28515625" style="123" customWidth="1"/>
    <col min="9695" max="9936" width="9.140625" style="123"/>
    <col min="9937" max="9937" width="33.140625" style="123" customWidth="1"/>
    <col min="9938" max="9938" width="50.42578125" style="123" customWidth="1"/>
    <col min="9939" max="9939" width="0" style="123" hidden="1" customWidth="1"/>
    <col min="9940" max="9940" width="16.7109375" style="123" customWidth="1"/>
    <col min="9941" max="9941" width="19.85546875" style="123" customWidth="1"/>
    <col min="9942" max="9942" width="21.140625" style="123" customWidth="1"/>
    <col min="9943" max="9948" width="0" style="123" hidden="1" customWidth="1"/>
    <col min="9949" max="9949" width="14.85546875" style="123" bestFit="1" customWidth="1"/>
    <col min="9950" max="9950" width="16.28515625" style="123" customWidth="1"/>
    <col min="9951" max="10192" width="9.140625" style="123"/>
    <col min="10193" max="10193" width="33.140625" style="123" customWidth="1"/>
    <col min="10194" max="10194" width="50.42578125" style="123" customWidth="1"/>
    <col min="10195" max="10195" width="0" style="123" hidden="1" customWidth="1"/>
    <col min="10196" max="10196" width="16.7109375" style="123" customWidth="1"/>
    <col min="10197" max="10197" width="19.85546875" style="123" customWidth="1"/>
    <col min="10198" max="10198" width="21.140625" style="123" customWidth="1"/>
    <col min="10199" max="10204" width="0" style="123" hidden="1" customWidth="1"/>
    <col min="10205" max="10205" width="14.85546875" style="123" bestFit="1" customWidth="1"/>
    <col min="10206" max="10206" width="16.28515625" style="123" customWidth="1"/>
    <col min="10207" max="10448" width="9.140625" style="123"/>
    <col min="10449" max="10449" width="33.140625" style="123" customWidth="1"/>
    <col min="10450" max="10450" width="50.42578125" style="123" customWidth="1"/>
    <col min="10451" max="10451" width="0" style="123" hidden="1" customWidth="1"/>
    <col min="10452" max="10452" width="16.7109375" style="123" customWidth="1"/>
    <col min="10453" max="10453" width="19.85546875" style="123" customWidth="1"/>
    <col min="10454" max="10454" width="21.140625" style="123" customWidth="1"/>
    <col min="10455" max="10460" width="0" style="123" hidden="1" customWidth="1"/>
    <col min="10461" max="10461" width="14.85546875" style="123" bestFit="1" customWidth="1"/>
    <col min="10462" max="10462" width="16.28515625" style="123" customWidth="1"/>
    <col min="10463" max="10704" width="9.140625" style="123"/>
    <col min="10705" max="10705" width="33.140625" style="123" customWidth="1"/>
    <col min="10706" max="10706" width="50.42578125" style="123" customWidth="1"/>
    <col min="10707" max="10707" width="0" style="123" hidden="1" customWidth="1"/>
    <col min="10708" max="10708" width="16.7109375" style="123" customWidth="1"/>
    <col min="10709" max="10709" width="19.85546875" style="123" customWidth="1"/>
    <col min="10710" max="10710" width="21.140625" style="123" customWidth="1"/>
    <col min="10711" max="10716" width="0" style="123" hidden="1" customWidth="1"/>
    <col min="10717" max="10717" width="14.85546875" style="123" bestFit="1" customWidth="1"/>
    <col min="10718" max="10718" width="16.28515625" style="123" customWidth="1"/>
    <col min="10719" max="10960" width="9.140625" style="123"/>
    <col min="10961" max="10961" width="33.140625" style="123" customWidth="1"/>
    <col min="10962" max="10962" width="50.42578125" style="123" customWidth="1"/>
    <col min="10963" max="10963" width="0" style="123" hidden="1" customWidth="1"/>
    <col min="10964" max="10964" width="16.7109375" style="123" customWidth="1"/>
    <col min="10965" max="10965" width="19.85546875" style="123" customWidth="1"/>
    <col min="10966" max="10966" width="21.140625" style="123" customWidth="1"/>
    <col min="10967" max="10972" width="0" style="123" hidden="1" customWidth="1"/>
    <col min="10973" max="10973" width="14.85546875" style="123" bestFit="1" customWidth="1"/>
    <col min="10974" max="10974" width="16.28515625" style="123" customWidth="1"/>
    <col min="10975" max="11216" width="9.140625" style="123"/>
    <col min="11217" max="11217" width="33.140625" style="123" customWidth="1"/>
    <col min="11218" max="11218" width="50.42578125" style="123" customWidth="1"/>
    <col min="11219" max="11219" width="0" style="123" hidden="1" customWidth="1"/>
    <col min="11220" max="11220" width="16.7109375" style="123" customWidth="1"/>
    <col min="11221" max="11221" width="19.85546875" style="123" customWidth="1"/>
    <col min="11222" max="11222" width="21.140625" style="123" customWidth="1"/>
    <col min="11223" max="11228" width="0" style="123" hidden="1" customWidth="1"/>
    <col min="11229" max="11229" width="14.85546875" style="123" bestFit="1" customWidth="1"/>
    <col min="11230" max="11230" width="16.28515625" style="123" customWidth="1"/>
    <col min="11231" max="11472" width="9.140625" style="123"/>
    <col min="11473" max="11473" width="33.140625" style="123" customWidth="1"/>
    <col min="11474" max="11474" width="50.42578125" style="123" customWidth="1"/>
    <col min="11475" max="11475" width="0" style="123" hidden="1" customWidth="1"/>
    <col min="11476" max="11476" width="16.7109375" style="123" customWidth="1"/>
    <col min="11477" max="11477" width="19.85546875" style="123" customWidth="1"/>
    <col min="11478" max="11478" width="21.140625" style="123" customWidth="1"/>
    <col min="11479" max="11484" width="0" style="123" hidden="1" customWidth="1"/>
    <col min="11485" max="11485" width="14.85546875" style="123" bestFit="1" customWidth="1"/>
    <col min="11486" max="11486" width="16.28515625" style="123" customWidth="1"/>
    <col min="11487" max="11728" width="9.140625" style="123"/>
    <col min="11729" max="11729" width="33.140625" style="123" customWidth="1"/>
    <col min="11730" max="11730" width="50.42578125" style="123" customWidth="1"/>
    <col min="11731" max="11731" width="0" style="123" hidden="1" customWidth="1"/>
    <col min="11732" max="11732" width="16.7109375" style="123" customWidth="1"/>
    <col min="11733" max="11733" width="19.85546875" style="123" customWidth="1"/>
    <col min="11734" max="11734" width="21.140625" style="123" customWidth="1"/>
    <col min="11735" max="11740" width="0" style="123" hidden="1" customWidth="1"/>
    <col min="11741" max="11741" width="14.85546875" style="123" bestFit="1" customWidth="1"/>
    <col min="11742" max="11742" width="16.28515625" style="123" customWidth="1"/>
    <col min="11743" max="11984" width="9.140625" style="123"/>
    <col min="11985" max="11985" width="33.140625" style="123" customWidth="1"/>
    <col min="11986" max="11986" width="50.42578125" style="123" customWidth="1"/>
    <col min="11987" max="11987" width="0" style="123" hidden="1" customWidth="1"/>
    <col min="11988" max="11988" width="16.7109375" style="123" customWidth="1"/>
    <col min="11989" max="11989" width="19.85546875" style="123" customWidth="1"/>
    <col min="11990" max="11990" width="21.140625" style="123" customWidth="1"/>
    <col min="11991" max="11996" width="0" style="123" hidden="1" customWidth="1"/>
    <col min="11997" max="11997" width="14.85546875" style="123" bestFit="1" customWidth="1"/>
    <col min="11998" max="11998" width="16.28515625" style="123" customWidth="1"/>
    <col min="11999" max="12240" width="9.140625" style="123"/>
    <col min="12241" max="12241" width="33.140625" style="123" customWidth="1"/>
    <col min="12242" max="12242" width="50.42578125" style="123" customWidth="1"/>
    <col min="12243" max="12243" width="0" style="123" hidden="1" customWidth="1"/>
    <col min="12244" max="12244" width="16.7109375" style="123" customWidth="1"/>
    <col min="12245" max="12245" width="19.85546875" style="123" customWidth="1"/>
    <col min="12246" max="12246" width="21.140625" style="123" customWidth="1"/>
    <col min="12247" max="12252" width="0" style="123" hidden="1" customWidth="1"/>
    <col min="12253" max="12253" width="14.85546875" style="123" bestFit="1" customWidth="1"/>
    <col min="12254" max="12254" width="16.28515625" style="123" customWidth="1"/>
    <col min="12255" max="12496" width="9.140625" style="123"/>
    <col min="12497" max="12497" width="33.140625" style="123" customWidth="1"/>
    <col min="12498" max="12498" width="50.42578125" style="123" customWidth="1"/>
    <col min="12499" max="12499" width="0" style="123" hidden="1" customWidth="1"/>
    <col min="12500" max="12500" width="16.7109375" style="123" customWidth="1"/>
    <col min="12501" max="12501" width="19.85546875" style="123" customWidth="1"/>
    <col min="12502" max="12502" width="21.140625" style="123" customWidth="1"/>
    <col min="12503" max="12508" width="0" style="123" hidden="1" customWidth="1"/>
    <col min="12509" max="12509" width="14.85546875" style="123" bestFit="1" customWidth="1"/>
    <col min="12510" max="12510" width="16.28515625" style="123" customWidth="1"/>
    <col min="12511" max="12752" width="9.140625" style="123"/>
    <col min="12753" max="12753" width="33.140625" style="123" customWidth="1"/>
    <col min="12754" max="12754" width="50.42578125" style="123" customWidth="1"/>
    <col min="12755" max="12755" width="0" style="123" hidden="1" customWidth="1"/>
    <col min="12756" max="12756" width="16.7109375" style="123" customWidth="1"/>
    <col min="12757" max="12757" width="19.85546875" style="123" customWidth="1"/>
    <col min="12758" max="12758" width="21.140625" style="123" customWidth="1"/>
    <col min="12759" max="12764" width="0" style="123" hidden="1" customWidth="1"/>
    <col min="12765" max="12765" width="14.85546875" style="123" bestFit="1" customWidth="1"/>
    <col min="12766" max="12766" width="16.28515625" style="123" customWidth="1"/>
    <col min="12767" max="13008" width="9.140625" style="123"/>
    <col min="13009" max="13009" width="33.140625" style="123" customWidth="1"/>
    <col min="13010" max="13010" width="50.42578125" style="123" customWidth="1"/>
    <col min="13011" max="13011" width="0" style="123" hidden="1" customWidth="1"/>
    <col min="13012" max="13012" width="16.7109375" style="123" customWidth="1"/>
    <col min="13013" max="13013" width="19.85546875" style="123" customWidth="1"/>
    <col min="13014" max="13014" width="21.140625" style="123" customWidth="1"/>
    <col min="13015" max="13020" width="0" style="123" hidden="1" customWidth="1"/>
    <col min="13021" max="13021" width="14.85546875" style="123" bestFit="1" customWidth="1"/>
    <col min="13022" max="13022" width="16.28515625" style="123" customWidth="1"/>
    <col min="13023" max="13264" width="9.140625" style="123"/>
    <col min="13265" max="13265" width="33.140625" style="123" customWidth="1"/>
    <col min="13266" max="13266" width="50.42578125" style="123" customWidth="1"/>
    <col min="13267" max="13267" width="0" style="123" hidden="1" customWidth="1"/>
    <col min="13268" max="13268" width="16.7109375" style="123" customWidth="1"/>
    <col min="13269" max="13269" width="19.85546875" style="123" customWidth="1"/>
    <col min="13270" max="13270" width="21.140625" style="123" customWidth="1"/>
    <col min="13271" max="13276" width="0" style="123" hidden="1" customWidth="1"/>
    <col min="13277" max="13277" width="14.85546875" style="123" bestFit="1" customWidth="1"/>
    <col min="13278" max="13278" width="16.28515625" style="123" customWidth="1"/>
    <col min="13279" max="13520" width="9.140625" style="123"/>
    <col min="13521" max="13521" width="33.140625" style="123" customWidth="1"/>
    <col min="13522" max="13522" width="50.42578125" style="123" customWidth="1"/>
    <col min="13523" max="13523" width="0" style="123" hidden="1" customWidth="1"/>
    <col min="13524" max="13524" width="16.7109375" style="123" customWidth="1"/>
    <col min="13525" max="13525" width="19.85546875" style="123" customWidth="1"/>
    <col min="13526" max="13526" width="21.140625" style="123" customWidth="1"/>
    <col min="13527" max="13532" width="0" style="123" hidden="1" customWidth="1"/>
    <col min="13533" max="13533" width="14.85546875" style="123" bestFit="1" customWidth="1"/>
    <col min="13534" max="13534" width="16.28515625" style="123" customWidth="1"/>
    <col min="13535" max="13776" width="9.140625" style="123"/>
    <col min="13777" max="13777" width="33.140625" style="123" customWidth="1"/>
    <col min="13778" max="13778" width="50.42578125" style="123" customWidth="1"/>
    <col min="13779" max="13779" width="0" style="123" hidden="1" customWidth="1"/>
    <col min="13780" max="13780" width="16.7109375" style="123" customWidth="1"/>
    <col min="13781" max="13781" width="19.85546875" style="123" customWidth="1"/>
    <col min="13782" max="13782" width="21.140625" style="123" customWidth="1"/>
    <col min="13783" max="13788" width="0" style="123" hidden="1" customWidth="1"/>
    <col min="13789" max="13789" width="14.85546875" style="123" bestFit="1" customWidth="1"/>
    <col min="13790" max="13790" width="16.28515625" style="123" customWidth="1"/>
    <col min="13791" max="14032" width="9.140625" style="123"/>
    <col min="14033" max="14033" width="33.140625" style="123" customWidth="1"/>
    <col min="14034" max="14034" width="50.42578125" style="123" customWidth="1"/>
    <col min="14035" max="14035" width="0" style="123" hidden="1" customWidth="1"/>
    <col min="14036" max="14036" width="16.7109375" style="123" customWidth="1"/>
    <col min="14037" max="14037" width="19.85546875" style="123" customWidth="1"/>
    <col min="14038" max="14038" width="21.140625" style="123" customWidth="1"/>
    <col min="14039" max="14044" width="0" style="123" hidden="1" customWidth="1"/>
    <col min="14045" max="14045" width="14.85546875" style="123" bestFit="1" customWidth="1"/>
    <col min="14046" max="14046" width="16.28515625" style="123" customWidth="1"/>
    <col min="14047" max="14288" width="9.140625" style="123"/>
    <col min="14289" max="14289" width="33.140625" style="123" customWidth="1"/>
    <col min="14290" max="14290" width="50.42578125" style="123" customWidth="1"/>
    <col min="14291" max="14291" width="0" style="123" hidden="1" customWidth="1"/>
    <col min="14292" max="14292" width="16.7109375" style="123" customWidth="1"/>
    <col min="14293" max="14293" width="19.85546875" style="123" customWidth="1"/>
    <col min="14294" max="14294" width="21.140625" style="123" customWidth="1"/>
    <col min="14295" max="14300" width="0" style="123" hidden="1" customWidth="1"/>
    <col min="14301" max="14301" width="14.85546875" style="123" bestFit="1" customWidth="1"/>
    <col min="14302" max="14302" width="16.28515625" style="123" customWidth="1"/>
    <col min="14303" max="14544" width="9.140625" style="123"/>
    <col min="14545" max="14545" width="33.140625" style="123" customWidth="1"/>
    <col min="14546" max="14546" width="50.42578125" style="123" customWidth="1"/>
    <col min="14547" max="14547" width="0" style="123" hidden="1" customWidth="1"/>
    <col min="14548" max="14548" width="16.7109375" style="123" customWidth="1"/>
    <col min="14549" max="14549" width="19.85546875" style="123" customWidth="1"/>
    <col min="14550" max="14550" width="21.140625" style="123" customWidth="1"/>
    <col min="14551" max="14556" width="0" style="123" hidden="1" customWidth="1"/>
    <col min="14557" max="14557" width="14.85546875" style="123" bestFit="1" customWidth="1"/>
    <col min="14558" max="14558" width="16.28515625" style="123" customWidth="1"/>
    <col min="14559" max="14800" width="9.140625" style="123"/>
    <col min="14801" max="14801" width="33.140625" style="123" customWidth="1"/>
    <col min="14802" max="14802" width="50.42578125" style="123" customWidth="1"/>
    <col min="14803" max="14803" width="0" style="123" hidden="1" customWidth="1"/>
    <col min="14804" max="14804" width="16.7109375" style="123" customWidth="1"/>
    <col min="14805" max="14805" width="19.85546875" style="123" customWidth="1"/>
    <col min="14806" max="14806" width="21.140625" style="123" customWidth="1"/>
    <col min="14807" max="14812" width="0" style="123" hidden="1" customWidth="1"/>
    <col min="14813" max="14813" width="14.85546875" style="123" bestFit="1" customWidth="1"/>
    <col min="14814" max="14814" width="16.28515625" style="123" customWidth="1"/>
    <col min="14815" max="15056" width="9.140625" style="123"/>
    <col min="15057" max="15057" width="33.140625" style="123" customWidth="1"/>
    <col min="15058" max="15058" width="50.42578125" style="123" customWidth="1"/>
    <col min="15059" max="15059" width="0" style="123" hidden="1" customWidth="1"/>
    <col min="15060" max="15060" width="16.7109375" style="123" customWidth="1"/>
    <col min="15061" max="15061" width="19.85546875" style="123" customWidth="1"/>
    <col min="15062" max="15062" width="21.140625" style="123" customWidth="1"/>
    <col min="15063" max="15068" width="0" style="123" hidden="1" customWidth="1"/>
    <col min="15069" max="15069" width="14.85546875" style="123" bestFit="1" customWidth="1"/>
    <col min="15070" max="15070" width="16.28515625" style="123" customWidth="1"/>
    <col min="15071" max="15312" width="9.140625" style="123"/>
    <col min="15313" max="15313" width="33.140625" style="123" customWidth="1"/>
    <col min="15314" max="15314" width="50.42578125" style="123" customWidth="1"/>
    <col min="15315" max="15315" width="0" style="123" hidden="1" customWidth="1"/>
    <col min="15316" max="15316" width="16.7109375" style="123" customWidth="1"/>
    <col min="15317" max="15317" width="19.85546875" style="123" customWidth="1"/>
    <col min="15318" max="15318" width="21.140625" style="123" customWidth="1"/>
    <col min="15319" max="15324" width="0" style="123" hidden="1" customWidth="1"/>
    <col min="15325" max="15325" width="14.85546875" style="123" bestFit="1" customWidth="1"/>
    <col min="15326" max="15326" width="16.28515625" style="123" customWidth="1"/>
    <col min="15327" max="15568" width="9.140625" style="123"/>
    <col min="15569" max="15569" width="33.140625" style="123" customWidth="1"/>
    <col min="15570" max="15570" width="50.42578125" style="123" customWidth="1"/>
    <col min="15571" max="15571" width="0" style="123" hidden="1" customWidth="1"/>
    <col min="15572" max="15572" width="16.7109375" style="123" customWidth="1"/>
    <col min="15573" max="15573" width="19.85546875" style="123" customWidth="1"/>
    <col min="15574" max="15574" width="21.140625" style="123" customWidth="1"/>
    <col min="15575" max="15580" width="0" style="123" hidden="1" customWidth="1"/>
    <col min="15581" max="15581" width="14.85546875" style="123" bestFit="1" customWidth="1"/>
    <col min="15582" max="15582" width="16.28515625" style="123" customWidth="1"/>
    <col min="15583" max="15824" width="9.140625" style="123"/>
    <col min="15825" max="15825" width="33.140625" style="123" customWidth="1"/>
    <col min="15826" max="15826" width="50.42578125" style="123" customWidth="1"/>
    <col min="15827" max="15827" width="0" style="123" hidden="1" customWidth="1"/>
    <col min="15828" max="15828" width="16.7109375" style="123" customWidth="1"/>
    <col min="15829" max="15829" width="19.85546875" style="123" customWidth="1"/>
    <col min="15830" max="15830" width="21.140625" style="123" customWidth="1"/>
    <col min="15831" max="15836" width="0" style="123" hidden="1" customWidth="1"/>
    <col min="15837" max="15837" width="14.85546875" style="123" bestFit="1" customWidth="1"/>
    <col min="15838" max="15838" width="16.28515625" style="123" customWidth="1"/>
    <col min="15839" max="16080" width="9.140625" style="123"/>
    <col min="16081" max="16081" width="33.140625" style="123" customWidth="1"/>
    <col min="16082" max="16082" width="50.42578125" style="123" customWidth="1"/>
    <col min="16083" max="16083" width="0" style="123" hidden="1" customWidth="1"/>
    <col min="16084" max="16084" width="16.7109375" style="123" customWidth="1"/>
    <col min="16085" max="16085" width="19.85546875" style="123" customWidth="1"/>
    <col min="16086" max="16086" width="21.140625" style="123" customWidth="1"/>
    <col min="16087" max="16092" width="0" style="123" hidden="1" customWidth="1"/>
    <col min="16093" max="16093" width="14.85546875" style="123" bestFit="1" customWidth="1"/>
    <col min="16094" max="16094" width="16.28515625" style="123" customWidth="1"/>
    <col min="16095" max="16384" width="9.140625" style="123"/>
  </cols>
  <sheetData>
    <row r="1" spans="1:7" ht="0.75" customHeight="1" x14ac:dyDescent="0.25">
      <c r="A1" s="99"/>
      <c r="B1" s="164"/>
    </row>
    <row r="2" spans="1:7" s="7" customFormat="1" ht="12.75" customHeight="1" x14ac:dyDescent="0.25">
      <c r="A2" s="17"/>
      <c r="D2" s="171" t="s">
        <v>910</v>
      </c>
      <c r="E2" s="184"/>
      <c r="F2" s="165"/>
    </row>
    <row r="3" spans="1:7" s="7" customFormat="1" ht="38.25" customHeight="1" x14ac:dyDescent="0.2">
      <c r="A3" s="17"/>
      <c r="D3" s="173" t="s">
        <v>561</v>
      </c>
      <c r="E3" s="182"/>
      <c r="F3" s="80"/>
    </row>
    <row r="4" spans="1:7" ht="16.5" hidden="1" customHeight="1" x14ac:dyDescent="0.25">
      <c r="A4" s="99"/>
      <c r="B4" s="163"/>
    </row>
    <row r="5" spans="1:7" ht="15" customHeight="1" x14ac:dyDescent="0.25">
      <c r="A5" s="162"/>
      <c r="B5" s="161"/>
      <c r="C5" s="160"/>
      <c r="D5" s="159"/>
      <c r="E5" s="158"/>
      <c r="F5" s="157"/>
    </row>
    <row r="6" spans="1:7" ht="42" customHeight="1" x14ac:dyDescent="0.25">
      <c r="A6" s="183" t="s">
        <v>914</v>
      </c>
      <c r="B6" s="183"/>
      <c r="C6" s="183"/>
      <c r="D6" s="183"/>
      <c r="E6" s="183"/>
      <c r="F6" s="156"/>
    </row>
    <row r="7" spans="1:7" s="154" customFormat="1" ht="14.25" customHeight="1" x14ac:dyDescent="0.25">
      <c r="A7" s="155"/>
      <c r="B7" s="155"/>
      <c r="C7" s="124"/>
      <c r="D7" s="124"/>
      <c r="E7" s="124" t="s">
        <v>136</v>
      </c>
    </row>
    <row r="8" spans="1:7" s="149" customFormat="1" ht="52.5" customHeight="1" x14ac:dyDescent="0.25">
      <c r="A8" s="153" t="s">
        <v>909</v>
      </c>
      <c r="B8" s="152" t="s">
        <v>183</v>
      </c>
      <c r="C8" s="151" t="s">
        <v>913</v>
      </c>
      <c r="D8" s="150" t="s">
        <v>559</v>
      </c>
      <c r="E8" s="150" t="s">
        <v>908</v>
      </c>
    </row>
    <row r="9" spans="1:7" s="147" customFormat="1" ht="12.75" x14ac:dyDescent="0.25">
      <c r="A9" s="148">
        <v>1</v>
      </c>
      <c r="B9" s="148">
        <v>2</v>
      </c>
      <c r="C9" s="148">
        <v>3</v>
      </c>
      <c r="D9" s="148">
        <v>4</v>
      </c>
      <c r="E9" s="148">
        <v>5</v>
      </c>
    </row>
    <row r="10" spans="1:7" ht="21.75" customHeight="1" x14ac:dyDescent="0.25">
      <c r="A10" s="129" t="s">
        <v>907</v>
      </c>
      <c r="B10" s="128" t="s">
        <v>906</v>
      </c>
      <c r="C10" s="127">
        <f>C11+C75</f>
        <v>731209.33041000005</v>
      </c>
      <c r="D10" s="127">
        <f>D11+D75</f>
        <v>736201.14092000003</v>
      </c>
      <c r="E10" s="127">
        <f t="shared" ref="E10:E17" si="0">D10/C10*100</f>
        <v>100.68267872172815</v>
      </c>
      <c r="F10" s="138"/>
      <c r="G10" s="168"/>
    </row>
    <row r="11" spans="1:7" x14ac:dyDescent="0.25">
      <c r="A11" s="129" t="s">
        <v>905</v>
      </c>
      <c r="B11" s="128" t="s">
        <v>904</v>
      </c>
      <c r="C11" s="127">
        <f>C12+C42</f>
        <v>138351.49300000002</v>
      </c>
      <c r="D11" s="127">
        <f>D12+D42</f>
        <v>145390.18799000001</v>
      </c>
      <c r="E11" s="127">
        <f t="shared" si="0"/>
        <v>105.08754537979578</v>
      </c>
      <c r="F11" s="143"/>
      <c r="G11" s="168"/>
    </row>
    <row r="12" spans="1:7" x14ac:dyDescent="0.25">
      <c r="A12" s="129"/>
      <c r="B12" s="128" t="s">
        <v>903</v>
      </c>
      <c r="C12" s="127">
        <f>C13+C19+C25+C33+C35+C38</f>
        <v>126374.12000000001</v>
      </c>
      <c r="D12" s="127">
        <f>D13+D19+D25+D33+D35+D38</f>
        <v>133543.7199</v>
      </c>
      <c r="E12" s="127">
        <f t="shared" si="0"/>
        <v>105.67331341258794</v>
      </c>
      <c r="G12" s="168"/>
    </row>
    <row r="13" spans="1:7" x14ac:dyDescent="0.25">
      <c r="A13" s="129" t="s">
        <v>902</v>
      </c>
      <c r="B13" s="128" t="s">
        <v>901</v>
      </c>
      <c r="C13" s="127">
        <f>C14</f>
        <v>64650</v>
      </c>
      <c r="D13" s="127">
        <f>D14</f>
        <v>67986.628060000003</v>
      </c>
      <c r="E13" s="127">
        <f t="shared" si="0"/>
        <v>105.16106428460942</v>
      </c>
    </row>
    <row r="14" spans="1:7" x14ac:dyDescent="0.25">
      <c r="A14" s="129" t="s">
        <v>900</v>
      </c>
      <c r="B14" s="128" t="s">
        <v>899</v>
      </c>
      <c r="C14" s="127">
        <f>C15+C16+C17</f>
        <v>64650</v>
      </c>
      <c r="D14" s="127">
        <f>D15+D16+D17+D18</f>
        <v>67986.628060000003</v>
      </c>
      <c r="E14" s="127">
        <f t="shared" si="0"/>
        <v>105.16106428460942</v>
      </c>
    </row>
    <row r="15" spans="1:7" ht="81.75" customHeight="1" x14ac:dyDescent="0.25">
      <c r="A15" s="129" t="s">
        <v>898</v>
      </c>
      <c r="B15" s="128" t="s">
        <v>897</v>
      </c>
      <c r="C15" s="127">
        <v>63210</v>
      </c>
      <c r="D15" s="127">
        <v>66769.702879999997</v>
      </c>
      <c r="E15" s="127">
        <f t="shared" si="0"/>
        <v>105.63155019775353</v>
      </c>
      <c r="G15" s="137"/>
    </row>
    <row r="16" spans="1:7" ht="113.25" customHeight="1" x14ac:dyDescent="0.25">
      <c r="A16" s="129" t="s">
        <v>896</v>
      </c>
      <c r="B16" s="128" t="s">
        <v>895</v>
      </c>
      <c r="C16" s="127">
        <v>565.20000000000005</v>
      </c>
      <c r="D16" s="127">
        <v>269.82769000000002</v>
      </c>
      <c r="E16" s="127">
        <f t="shared" si="0"/>
        <v>47.74021408351026</v>
      </c>
    </row>
    <row r="17" spans="1:8" ht="48.75" customHeight="1" x14ac:dyDescent="0.25">
      <c r="A17" s="129" t="s">
        <v>894</v>
      </c>
      <c r="B17" s="128" t="s">
        <v>893</v>
      </c>
      <c r="C17" s="127">
        <v>874.8</v>
      </c>
      <c r="D17" s="127">
        <v>831.60816</v>
      </c>
      <c r="E17" s="127">
        <f t="shared" si="0"/>
        <v>95.062661179698225</v>
      </c>
    </row>
    <row r="18" spans="1:8" ht="97.5" customHeight="1" x14ac:dyDescent="0.25">
      <c r="A18" s="129" t="s">
        <v>892</v>
      </c>
      <c r="B18" s="128" t="s">
        <v>891</v>
      </c>
      <c r="C18" s="127"/>
      <c r="D18" s="127">
        <v>115.48933</v>
      </c>
      <c r="E18" s="127"/>
    </row>
    <row r="19" spans="1:8" ht="31.5" x14ac:dyDescent="0.25">
      <c r="A19" s="129" t="s">
        <v>890</v>
      </c>
      <c r="B19" s="128" t="s">
        <v>889</v>
      </c>
      <c r="C19" s="127">
        <f>C20</f>
        <v>12410.32</v>
      </c>
      <c r="D19" s="127">
        <f>D20</f>
        <v>12648.906440000001</v>
      </c>
      <c r="E19" s="127">
        <f>D19/C19*100</f>
        <v>101.92248419057688</v>
      </c>
    </row>
    <row r="20" spans="1:8" ht="31.5" x14ac:dyDescent="0.25">
      <c r="A20" s="129" t="s">
        <v>888</v>
      </c>
      <c r="B20" s="128" t="s">
        <v>887</v>
      </c>
      <c r="C20" s="127">
        <f>C21+C22+C23</f>
        <v>12410.32</v>
      </c>
      <c r="D20" s="127">
        <f>D22+D23+D21+D24</f>
        <v>12648.906440000001</v>
      </c>
      <c r="E20" s="127">
        <f>D20/C20*100</f>
        <v>101.92248419057688</v>
      </c>
    </row>
    <row r="21" spans="1:8" ht="72" customHeight="1" x14ac:dyDescent="0.25">
      <c r="A21" s="129" t="s">
        <v>886</v>
      </c>
      <c r="B21" s="128" t="s">
        <v>885</v>
      </c>
      <c r="C21" s="127">
        <v>5632.44</v>
      </c>
      <c r="D21" s="146">
        <v>5839.4889499999999</v>
      </c>
      <c r="E21" s="127">
        <f>D21/C21*100</f>
        <v>103.6760080888567</v>
      </c>
      <c r="H21" s="145"/>
    </row>
    <row r="22" spans="1:8" ht="79.5" customHeight="1" x14ac:dyDescent="0.25">
      <c r="A22" s="129" t="s">
        <v>884</v>
      </c>
      <c r="B22" s="128" t="s">
        <v>883</v>
      </c>
      <c r="C22" s="127">
        <v>52.89</v>
      </c>
      <c r="D22" s="127">
        <v>41.067549999999997</v>
      </c>
      <c r="E22" s="127">
        <f>D22/C22*100</f>
        <v>77.647097750047266</v>
      </c>
      <c r="H22" s="145"/>
    </row>
    <row r="23" spans="1:8" ht="75" customHeight="1" x14ac:dyDescent="0.25">
      <c r="A23" s="129" t="s">
        <v>882</v>
      </c>
      <c r="B23" s="128" t="s">
        <v>881</v>
      </c>
      <c r="C23" s="127">
        <v>6724.99</v>
      </c>
      <c r="D23" s="127">
        <v>7764.1327099999999</v>
      </c>
      <c r="E23" s="127">
        <f>D23/C23*100</f>
        <v>115.45195918506943</v>
      </c>
      <c r="H23" s="145"/>
    </row>
    <row r="24" spans="1:8" ht="69" customHeight="1" x14ac:dyDescent="0.25">
      <c r="A24" s="129" t="s">
        <v>880</v>
      </c>
      <c r="B24" s="128" t="s">
        <v>879</v>
      </c>
      <c r="C24" s="127"/>
      <c r="D24" s="127">
        <v>-995.78277000000003</v>
      </c>
      <c r="E24" s="127"/>
      <c r="H24" s="145"/>
    </row>
    <row r="25" spans="1:8" x14ac:dyDescent="0.25">
      <c r="A25" s="129" t="s">
        <v>878</v>
      </c>
      <c r="B25" s="128" t="s">
        <v>877</v>
      </c>
      <c r="C25" s="127">
        <f>C26+C29+C30+C31</f>
        <v>19810</v>
      </c>
      <c r="D25" s="127">
        <f>D26+D29+D30+D31+D32</f>
        <v>21832.890159999999</v>
      </c>
      <c r="E25" s="127">
        <f t="shared" ref="E25:E31" si="1">D25/C25*100</f>
        <v>110.21145966683493</v>
      </c>
    </row>
    <row r="26" spans="1:8" ht="31.5" x14ac:dyDescent="0.25">
      <c r="A26" s="129" t="s">
        <v>876</v>
      </c>
      <c r="B26" s="128" t="s">
        <v>875</v>
      </c>
      <c r="C26" s="127">
        <v>16150</v>
      </c>
      <c r="D26" s="127">
        <v>18091.798989999999</v>
      </c>
      <c r="E26" s="127">
        <f t="shared" si="1"/>
        <v>112.02352315789472</v>
      </c>
    </row>
    <row r="27" spans="1:8" ht="31.5" hidden="1" x14ac:dyDescent="0.25">
      <c r="A27" s="129" t="s">
        <v>874</v>
      </c>
      <c r="B27" s="128" t="s">
        <v>873</v>
      </c>
      <c r="C27" s="127">
        <v>9425.2900000000009</v>
      </c>
      <c r="D27" s="127">
        <v>7075.7190600000004</v>
      </c>
      <c r="E27" s="127">
        <f t="shared" si="1"/>
        <v>75.071632384786042</v>
      </c>
    </row>
    <row r="28" spans="1:8" ht="47.25" hidden="1" x14ac:dyDescent="0.25">
      <c r="A28" s="129" t="s">
        <v>872</v>
      </c>
      <c r="B28" s="128" t="s">
        <v>871</v>
      </c>
      <c r="C28" s="127">
        <v>4583.6000000000004</v>
      </c>
      <c r="D28" s="127">
        <f>3127.41537-1.12138</f>
        <v>3126.2939900000001</v>
      </c>
      <c r="E28" s="127">
        <f t="shared" si="1"/>
        <v>68.206082337027667</v>
      </c>
    </row>
    <row r="29" spans="1:8" ht="28.5" customHeight="1" x14ac:dyDescent="0.25">
      <c r="A29" s="129" t="s">
        <v>870</v>
      </c>
      <c r="B29" s="128" t="s">
        <v>869</v>
      </c>
      <c r="C29" s="127">
        <v>1880</v>
      </c>
      <c r="D29" s="127">
        <v>1844.48912</v>
      </c>
      <c r="E29" s="127">
        <f t="shared" si="1"/>
        <v>98.111123404255324</v>
      </c>
    </row>
    <row r="30" spans="1:8" x14ac:dyDescent="0.25">
      <c r="A30" s="129" t="s">
        <v>868</v>
      </c>
      <c r="B30" s="128" t="s">
        <v>867</v>
      </c>
      <c r="C30" s="127">
        <v>1430</v>
      </c>
      <c r="D30" s="127">
        <v>1461.1287</v>
      </c>
      <c r="E30" s="127">
        <f t="shared" si="1"/>
        <v>102.17683216783217</v>
      </c>
    </row>
    <row r="31" spans="1:8" ht="47.25" x14ac:dyDescent="0.25">
      <c r="A31" s="129" t="s">
        <v>866</v>
      </c>
      <c r="B31" s="128" t="s">
        <v>865</v>
      </c>
      <c r="C31" s="127">
        <v>350</v>
      </c>
      <c r="D31" s="127">
        <v>435.47334999999998</v>
      </c>
      <c r="E31" s="127">
        <f t="shared" si="1"/>
        <v>124.42095714285715</v>
      </c>
    </row>
    <row r="32" spans="1:8" ht="42.75" hidden="1" customHeight="1" x14ac:dyDescent="0.25">
      <c r="A32" s="129" t="s">
        <v>864</v>
      </c>
      <c r="B32" s="128" t="s">
        <v>863</v>
      </c>
      <c r="C32" s="127"/>
      <c r="D32" s="127"/>
      <c r="E32" s="127"/>
    </row>
    <row r="33" spans="1:5" x14ac:dyDescent="0.25">
      <c r="A33" s="129" t="s">
        <v>862</v>
      </c>
      <c r="B33" s="128" t="s">
        <v>861</v>
      </c>
      <c r="C33" s="127">
        <f>C34</f>
        <v>26505</v>
      </c>
      <c r="D33" s="127">
        <f>D34</f>
        <v>27690.559499999999</v>
      </c>
      <c r="E33" s="127">
        <f>D33/C33*100</f>
        <v>104.47296547821165</v>
      </c>
    </row>
    <row r="34" spans="1:5" ht="31.5" x14ac:dyDescent="0.25">
      <c r="A34" s="129" t="s">
        <v>860</v>
      </c>
      <c r="B34" s="128" t="s">
        <v>859</v>
      </c>
      <c r="C34" s="127">
        <v>26505</v>
      </c>
      <c r="D34" s="127">
        <v>27690.559499999999</v>
      </c>
      <c r="E34" s="127">
        <f>D34/C34*100</f>
        <v>104.47296547821165</v>
      </c>
    </row>
    <row r="35" spans="1:5" ht="31.5" x14ac:dyDescent="0.25">
      <c r="A35" s="129" t="s">
        <v>858</v>
      </c>
      <c r="B35" s="128" t="s">
        <v>857</v>
      </c>
      <c r="C35" s="127">
        <f>C36+C37</f>
        <v>1117.5</v>
      </c>
      <c r="D35" s="127">
        <f>D36+D37</f>
        <v>1106.4979900000001</v>
      </c>
      <c r="E35" s="127">
        <f>D35/C35*100</f>
        <v>99.015480089485465</v>
      </c>
    </row>
    <row r="36" spans="1:5" ht="27" customHeight="1" x14ac:dyDescent="0.25">
      <c r="A36" s="129" t="s">
        <v>856</v>
      </c>
      <c r="B36" s="128" t="s">
        <v>855</v>
      </c>
      <c r="C36" s="127">
        <v>1060</v>
      </c>
      <c r="D36" s="127">
        <v>1048.97299</v>
      </c>
      <c r="E36" s="127">
        <f>D36/C36*100</f>
        <v>98.959716037735845</v>
      </c>
    </row>
    <row r="37" spans="1:5" ht="27" customHeight="1" x14ac:dyDescent="0.25">
      <c r="A37" s="129" t="s">
        <v>854</v>
      </c>
      <c r="B37" s="128" t="s">
        <v>853</v>
      </c>
      <c r="C37" s="127">
        <v>57.5</v>
      </c>
      <c r="D37" s="127">
        <v>57.524999999999999</v>
      </c>
      <c r="E37" s="127"/>
    </row>
    <row r="38" spans="1:5" x14ac:dyDescent="0.25">
      <c r="A38" s="129" t="s">
        <v>852</v>
      </c>
      <c r="B38" s="128" t="s">
        <v>851</v>
      </c>
      <c r="C38" s="127">
        <f>C39+C40+C41</f>
        <v>1881.3</v>
      </c>
      <c r="D38" s="127">
        <f>D39+D40+D41</f>
        <v>2278.2377500000002</v>
      </c>
      <c r="E38" s="127">
        <f t="shared" ref="E38:E58" si="2">D38/C38*100</f>
        <v>121.09912028916176</v>
      </c>
    </row>
    <row r="39" spans="1:5" ht="49.5" customHeight="1" x14ac:dyDescent="0.25">
      <c r="A39" s="129" t="s">
        <v>850</v>
      </c>
      <c r="B39" s="128" t="s">
        <v>849</v>
      </c>
      <c r="C39" s="127">
        <v>1605</v>
      </c>
      <c r="D39" s="127">
        <v>1933.48775</v>
      </c>
      <c r="E39" s="127">
        <f t="shared" si="2"/>
        <v>120.46652647975078</v>
      </c>
    </row>
    <row r="40" spans="1:5" ht="75" customHeight="1" x14ac:dyDescent="0.25">
      <c r="A40" s="129" t="s">
        <v>848</v>
      </c>
      <c r="B40" s="128" t="s">
        <v>847</v>
      </c>
      <c r="C40" s="127">
        <v>276.3</v>
      </c>
      <c r="D40" s="127">
        <v>344.75</v>
      </c>
      <c r="E40" s="127">
        <f t="shared" si="2"/>
        <v>124.77379659790083</v>
      </c>
    </row>
    <row r="41" spans="1:5" ht="35.25" hidden="1" customHeight="1" x14ac:dyDescent="0.25">
      <c r="A41" s="129" t="s">
        <v>846</v>
      </c>
      <c r="B41" s="128" t="s">
        <v>845</v>
      </c>
      <c r="C41" s="127"/>
      <c r="D41" s="127"/>
      <c r="E41" s="127" t="e">
        <f t="shared" si="2"/>
        <v>#DIV/0!</v>
      </c>
    </row>
    <row r="42" spans="1:5" ht="20.25" customHeight="1" x14ac:dyDescent="0.25">
      <c r="A42" s="129"/>
      <c r="B42" s="128" t="s">
        <v>844</v>
      </c>
      <c r="C42" s="127">
        <f>C43+C50+C64+C71+C60</f>
        <v>11977.373</v>
      </c>
      <c r="D42" s="127">
        <f>D43+D50+D60+D64+D71+D72</f>
        <v>11846.468089999998</v>
      </c>
      <c r="E42" s="127">
        <f t="shared" si="2"/>
        <v>98.907064929847294</v>
      </c>
    </row>
    <row r="43" spans="1:5" ht="47.25" x14ac:dyDescent="0.25">
      <c r="A43" s="129" t="s">
        <v>843</v>
      </c>
      <c r="B43" s="128" t="s">
        <v>842</v>
      </c>
      <c r="C43" s="127">
        <f>C46</f>
        <v>3817.3</v>
      </c>
      <c r="D43" s="127">
        <f>D46</f>
        <v>4527.9104699999998</v>
      </c>
      <c r="E43" s="127">
        <f t="shared" si="2"/>
        <v>118.61552589526627</v>
      </c>
    </row>
    <row r="44" spans="1:5" ht="31.5" hidden="1" customHeight="1" x14ac:dyDescent="0.25">
      <c r="A44" s="129" t="s">
        <v>841</v>
      </c>
      <c r="B44" s="128" t="s">
        <v>840</v>
      </c>
      <c r="C44" s="127" t="e">
        <f>#REF!+#REF!</f>
        <v>#REF!</v>
      </c>
      <c r="D44" s="127"/>
      <c r="E44" s="127" t="e">
        <f t="shared" si="2"/>
        <v>#REF!</v>
      </c>
    </row>
    <row r="45" spans="1:5" ht="47.25" hidden="1" customHeight="1" x14ac:dyDescent="0.25">
      <c r="A45" s="129" t="s">
        <v>839</v>
      </c>
      <c r="B45" s="128" t="s">
        <v>838</v>
      </c>
      <c r="C45" s="127" t="e">
        <f>#REF!+#REF!</f>
        <v>#REF!</v>
      </c>
      <c r="D45" s="127"/>
      <c r="E45" s="127" t="e">
        <f t="shared" si="2"/>
        <v>#REF!</v>
      </c>
    </row>
    <row r="46" spans="1:5" ht="87" customHeight="1" x14ac:dyDescent="0.25">
      <c r="A46" s="129" t="s">
        <v>837</v>
      </c>
      <c r="B46" s="128" t="s">
        <v>836</v>
      </c>
      <c r="C46" s="127">
        <f>C47+C48+C49</f>
        <v>3817.3</v>
      </c>
      <c r="D46" s="127">
        <f>D47+D48+D49</f>
        <v>4527.9104699999998</v>
      </c>
      <c r="E46" s="127">
        <f t="shared" si="2"/>
        <v>118.61552589526627</v>
      </c>
    </row>
    <row r="47" spans="1:5" ht="96" customHeight="1" x14ac:dyDescent="0.25">
      <c r="A47" s="129" t="s">
        <v>835</v>
      </c>
      <c r="B47" s="128" t="s">
        <v>834</v>
      </c>
      <c r="C47" s="127">
        <v>3623.3</v>
      </c>
      <c r="D47" s="127">
        <v>4339.9388799999997</v>
      </c>
      <c r="E47" s="127">
        <f t="shared" si="2"/>
        <v>119.77862390638367</v>
      </c>
    </row>
    <row r="48" spans="1:5" ht="80.25" customHeight="1" x14ac:dyDescent="0.25">
      <c r="A48" s="129" t="s">
        <v>833</v>
      </c>
      <c r="B48" s="128" t="s">
        <v>832</v>
      </c>
      <c r="C48" s="127">
        <v>58</v>
      </c>
      <c r="D48" s="127">
        <v>51.910339999999998</v>
      </c>
      <c r="E48" s="127">
        <f t="shared" si="2"/>
        <v>89.500586206896543</v>
      </c>
    </row>
    <row r="49" spans="1:5" ht="69.75" customHeight="1" x14ac:dyDescent="0.25">
      <c r="A49" s="129" t="s">
        <v>831</v>
      </c>
      <c r="B49" s="128" t="s">
        <v>830</v>
      </c>
      <c r="C49" s="127">
        <v>136</v>
      </c>
      <c r="D49" s="127">
        <v>136.06125</v>
      </c>
      <c r="E49" s="127">
        <f t="shared" si="2"/>
        <v>100.04503676470588</v>
      </c>
    </row>
    <row r="50" spans="1:5" ht="24.75" customHeight="1" x14ac:dyDescent="0.25">
      <c r="A50" s="129" t="s">
        <v>829</v>
      </c>
      <c r="B50" s="128" t="s">
        <v>828</v>
      </c>
      <c r="C50" s="127">
        <f>C51+C54</f>
        <v>75</v>
      </c>
      <c r="D50" s="127">
        <f>D51+D54+D59</f>
        <v>66.336240000000004</v>
      </c>
      <c r="E50" s="127">
        <f t="shared" si="2"/>
        <v>88.448319999999995</v>
      </c>
    </row>
    <row r="51" spans="1:5" ht="34.5" customHeight="1" x14ac:dyDescent="0.25">
      <c r="A51" s="129" t="s">
        <v>827</v>
      </c>
      <c r="B51" s="128" t="s">
        <v>826</v>
      </c>
      <c r="C51" s="127">
        <v>30</v>
      </c>
      <c r="D51" s="127">
        <v>35.376170000000002</v>
      </c>
      <c r="E51" s="127">
        <f t="shared" si="2"/>
        <v>117.92056666666669</v>
      </c>
    </row>
    <row r="52" spans="1:5" ht="31.5" hidden="1" x14ac:dyDescent="0.25">
      <c r="A52" s="129" t="s">
        <v>825</v>
      </c>
      <c r="B52" s="128" t="s">
        <v>824</v>
      </c>
      <c r="C52" s="127" t="e">
        <f>#REF!+#REF!</f>
        <v>#REF!</v>
      </c>
      <c r="D52" s="127"/>
      <c r="E52" s="127" t="e">
        <f t="shared" si="2"/>
        <v>#REF!</v>
      </c>
    </row>
    <row r="53" spans="1:5" ht="30.75" hidden="1" customHeight="1" x14ac:dyDescent="0.25">
      <c r="A53" s="129" t="s">
        <v>823</v>
      </c>
      <c r="B53" s="128" t="s">
        <v>822</v>
      </c>
      <c r="C53" s="127" t="e">
        <f>#REF!+#REF!</f>
        <v>#REF!</v>
      </c>
      <c r="D53" s="127"/>
      <c r="E53" s="127" t="e">
        <f t="shared" si="2"/>
        <v>#REF!</v>
      </c>
    </row>
    <row r="54" spans="1:5" ht="25.5" customHeight="1" x14ac:dyDescent="0.25">
      <c r="A54" s="129" t="s">
        <v>821</v>
      </c>
      <c r="B54" s="128" t="s">
        <v>820</v>
      </c>
      <c r="C54" s="127">
        <v>45</v>
      </c>
      <c r="D54" s="127">
        <v>30.904250000000001</v>
      </c>
      <c r="E54" s="127">
        <f t="shared" si="2"/>
        <v>68.676111111111112</v>
      </c>
    </row>
    <row r="55" spans="1:5" ht="47.25" hidden="1" customHeight="1" x14ac:dyDescent="0.25">
      <c r="A55" s="129" t="s">
        <v>819</v>
      </c>
      <c r="B55" s="128" t="s">
        <v>818</v>
      </c>
      <c r="C55" s="127" t="e">
        <f>#REF!+#REF!</f>
        <v>#REF!</v>
      </c>
      <c r="D55" s="127"/>
      <c r="E55" s="127" t="e">
        <f t="shared" si="2"/>
        <v>#REF!</v>
      </c>
    </row>
    <row r="56" spans="1:5" ht="15.75" hidden="1" customHeight="1" x14ac:dyDescent="0.25">
      <c r="A56" s="129" t="s">
        <v>817</v>
      </c>
      <c r="B56" s="128" t="s">
        <v>816</v>
      </c>
      <c r="C56" s="127" t="e">
        <f>#REF!+#REF!</f>
        <v>#REF!</v>
      </c>
      <c r="D56" s="127"/>
      <c r="E56" s="127" t="e">
        <f t="shared" si="2"/>
        <v>#REF!</v>
      </c>
    </row>
    <row r="57" spans="1:5" ht="15.75" hidden="1" customHeight="1" x14ac:dyDescent="0.25">
      <c r="A57" s="129" t="s">
        <v>815</v>
      </c>
      <c r="B57" s="128" t="s">
        <v>814</v>
      </c>
      <c r="C57" s="127" t="e">
        <f>#REF!+#REF!</f>
        <v>#REF!</v>
      </c>
      <c r="D57" s="127"/>
      <c r="E57" s="127" t="e">
        <f t="shared" si="2"/>
        <v>#REF!</v>
      </c>
    </row>
    <row r="58" spans="1:5" ht="47.25" hidden="1" customHeight="1" x14ac:dyDescent="0.25">
      <c r="A58" s="129" t="s">
        <v>813</v>
      </c>
      <c r="B58" s="128" t="s">
        <v>807</v>
      </c>
      <c r="C58" s="127" t="e">
        <f>#REF!+#REF!</f>
        <v>#REF!</v>
      </c>
      <c r="D58" s="127"/>
      <c r="E58" s="127" t="e">
        <f t="shared" si="2"/>
        <v>#REF!</v>
      </c>
    </row>
    <row r="59" spans="1:5" ht="46.5" customHeight="1" x14ac:dyDescent="0.25">
      <c r="A59" s="129" t="s">
        <v>812</v>
      </c>
      <c r="B59" s="128" t="s">
        <v>811</v>
      </c>
      <c r="C59" s="127"/>
      <c r="D59" s="127">
        <v>5.5820000000000002E-2</v>
      </c>
      <c r="E59" s="127"/>
    </row>
    <row r="60" spans="1:5" ht="39.75" customHeight="1" x14ac:dyDescent="0.25">
      <c r="A60" s="129" t="s">
        <v>810</v>
      </c>
      <c r="B60" s="128" t="s">
        <v>809</v>
      </c>
      <c r="C60" s="127">
        <f>C61+C62+C63</f>
        <v>2355.0729999999999</v>
      </c>
      <c r="D60" s="127">
        <f>D62+D61+D63</f>
        <v>844.82624999999996</v>
      </c>
      <c r="E60" s="127">
        <f t="shared" ref="E60:E71" si="3">D60/C60*100</f>
        <v>35.872614139774015</v>
      </c>
    </row>
    <row r="61" spans="1:5" ht="39.75" customHeight="1" x14ac:dyDescent="0.25">
      <c r="A61" s="129" t="s">
        <v>808</v>
      </c>
      <c r="B61" s="128" t="s">
        <v>807</v>
      </c>
      <c r="C61" s="127">
        <v>2144.433</v>
      </c>
      <c r="D61" s="127">
        <v>567.60672999999997</v>
      </c>
      <c r="E61" s="127">
        <f t="shared" si="3"/>
        <v>26.468848875203843</v>
      </c>
    </row>
    <row r="62" spans="1:5" ht="39.75" customHeight="1" x14ac:dyDescent="0.25">
      <c r="A62" s="129" t="s">
        <v>806</v>
      </c>
      <c r="B62" s="128" t="s">
        <v>805</v>
      </c>
      <c r="C62" s="127">
        <v>183</v>
      </c>
      <c r="D62" s="127">
        <v>165.78342000000001</v>
      </c>
      <c r="E62" s="127">
        <f t="shared" si="3"/>
        <v>90.592032786885241</v>
      </c>
    </row>
    <row r="63" spans="1:5" ht="39.75" customHeight="1" x14ac:dyDescent="0.25">
      <c r="A63" s="129" t="s">
        <v>804</v>
      </c>
      <c r="B63" s="128" t="s">
        <v>803</v>
      </c>
      <c r="C63" s="127">
        <v>27.64</v>
      </c>
      <c r="D63" s="127">
        <v>111.4361</v>
      </c>
      <c r="E63" s="127">
        <f t="shared" si="3"/>
        <v>403.16968162083936</v>
      </c>
    </row>
    <row r="64" spans="1:5" ht="37.5" customHeight="1" x14ac:dyDescent="0.25">
      <c r="A64" s="129" t="s">
        <v>802</v>
      </c>
      <c r="B64" s="128" t="s">
        <v>801</v>
      </c>
      <c r="C64" s="127">
        <f>C65+C66+C67</f>
        <v>4950</v>
      </c>
      <c r="D64" s="127">
        <f>D65+D66+D67</f>
        <v>5023.9680099999996</v>
      </c>
      <c r="E64" s="127">
        <f t="shared" si="3"/>
        <v>101.49430323232322</v>
      </c>
    </row>
    <row r="65" spans="1:8" ht="85.5" hidden="1" customHeight="1" x14ac:dyDescent="0.25">
      <c r="A65" s="129" t="s">
        <v>800</v>
      </c>
      <c r="B65" s="128" t="s">
        <v>799</v>
      </c>
      <c r="C65" s="127"/>
      <c r="D65" s="127"/>
      <c r="E65" s="127" t="e">
        <f t="shared" si="3"/>
        <v>#DIV/0!</v>
      </c>
    </row>
    <row r="66" spans="1:8" ht="61.5" customHeight="1" x14ac:dyDescent="0.25">
      <c r="A66" s="129" t="s">
        <v>798</v>
      </c>
      <c r="B66" s="128" t="s">
        <v>797</v>
      </c>
      <c r="C66" s="127">
        <v>4950</v>
      </c>
      <c r="D66" s="127">
        <v>5023.9680099999996</v>
      </c>
      <c r="E66" s="127">
        <f t="shared" si="3"/>
        <v>101.49430323232322</v>
      </c>
    </row>
    <row r="67" spans="1:8" ht="60" hidden="1" customHeight="1" x14ac:dyDescent="0.25">
      <c r="A67" s="129" t="s">
        <v>796</v>
      </c>
      <c r="B67" s="128" t="s">
        <v>795</v>
      </c>
      <c r="C67" s="127"/>
      <c r="D67" s="127"/>
      <c r="E67" s="127" t="e">
        <f t="shared" si="3"/>
        <v>#DIV/0!</v>
      </c>
    </row>
    <row r="68" spans="1:8" ht="42.75" hidden="1" customHeight="1" x14ac:dyDescent="0.25">
      <c r="A68" s="129" t="s">
        <v>794</v>
      </c>
      <c r="B68" s="128" t="s">
        <v>793</v>
      </c>
      <c r="C68" s="127" t="e">
        <f>#REF!+#REF!</f>
        <v>#REF!</v>
      </c>
      <c r="D68" s="127"/>
      <c r="E68" s="127" t="e">
        <f t="shared" si="3"/>
        <v>#REF!</v>
      </c>
    </row>
    <row r="69" spans="1:8" ht="41.25" hidden="1" customHeight="1" x14ac:dyDescent="0.25">
      <c r="A69" s="129" t="s">
        <v>792</v>
      </c>
      <c r="B69" s="128" t="s">
        <v>791</v>
      </c>
      <c r="C69" s="127" t="e">
        <f>#REF!+#REF!</f>
        <v>#REF!</v>
      </c>
      <c r="D69" s="127"/>
      <c r="E69" s="127" t="e">
        <f t="shared" si="3"/>
        <v>#REF!</v>
      </c>
    </row>
    <row r="70" spans="1:8" ht="9" hidden="1" customHeight="1" x14ac:dyDescent="0.25">
      <c r="A70" s="129" t="s">
        <v>790</v>
      </c>
      <c r="B70" s="128" t="s">
        <v>789</v>
      </c>
      <c r="C70" s="127" t="e">
        <f>#REF!+#REF!</f>
        <v>#REF!</v>
      </c>
      <c r="D70" s="127"/>
      <c r="E70" s="127" t="e">
        <f t="shared" si="3"/>
        <v>#REF!</v>
      </c>
    </row>
    <row r="71" spans="1:8" x14ac:dyDescent="0.25">
      <c r="A71" s="129" t="s">
        <v>788</v>
      </c>
      <c r="B71" s="128" t="s">
        <v>787</v>
      </c>
      <c r="C71" s="127">
        <v>780</v>
      </c>
      <c r="D71" s="127">
        <v>1371.4929999999999</v>
      </c>
      <c r="E71" s="127">
        <f t="shared" si="3"/>
        <v>175.83243589743589</v>
      </c>
    </row>
    <row r="72" spans="1:8" ht="15.75" customHeight="1" x14ac:dyDescent="0.25">
      <c r="A72" s="129" t="s">
        <v>786</v>
      </c>
      <c r="B72" s="128" t="s">
        <v>785</v>
      </c>
      <c r="C72" s="127">
        <f>C73+C74</f>
        <v>0</v>
      </c>
      <c r="D72" s="127">
        <f>D73+D74</f>
        <v>11.93412</v>
      </c>
      <c r="E72" s="127"/>
    </row>
    <row r="73" spans="1:8" ht="15.75" customHeight="1" x14ac:dyDescent="0.25">
      <c r="A73" s="129" t="s">
        <v>784</v>
      </c>
      <c r="B73" s="128" t="s">
        <v>783</v>
      </c>
      <c r="C73" s="127"/>
      <c r="D73" s="127">
        <v>11.43412</v>
      </c>
      <c r="E73" s="127"/>
    </row>
    <row r="74" spans="1:8" ht="24" customHeight="1" x14ac:dyDescent="0.25">
      <c r="A74" s="129" t="s">
        <v>782</v>
      </c>
      <c r="B74" s="128" t="s">
        <v>781</v>
      </c>
      <c r="C74" s="127"/>
      <c r="D74" s="127">
        <v>0.5</v>
      </c>
      <c r="E74" s="127"/>
    </row>
    <row r="75" spans="1:8" ht="21.75" customHeight="1" x14ac:dyDescent="0.25">
      <c r="A75" s="129" t="s">
        <v>780</v>
      </c>
      <c r="B75" s="128" t="s">
        <v>779</v>
      </c>
      <c r="C75" s="127">
        <f>C76+C156+C161</f>
        <v>592857.83741000004</v>
      </c>
      <c r="D75" s="127">
        <f>D76+D156+D161</f>
        <v>590810.95293000003</v>
      </c>
      <c r="E75" s="127">
        <f t="shared" ref="E75:E89" si="4">D75/C75*100</f>
        <v>99.654742781348361</v>
      </c>
    </row>
    <row r="76" spans="1:8" ht="42" customHeight="1" x14ac:dyDescent="0.25">
      <c r="A76" s="129" t="s">
        <v>778</v>
      </c>
      <c r="B76" s="128" t="s">
        <v>777</v>
      </c>
      <c r="C76" s="127">
        <f>C77+C83+C108+C147</f>
        <v>618315.41318999999</v>
      </c>
      <c r="D76" s="127">
        <f>D77+D83+D108+D147</f>
        <v>616268.52870999998</v>
      </c>
      <c r="E76" s="127">
        <f t="shared" si="4"/>
        <v>99.668957875489511</v>
      </c>
      <c r="G76" s="137"/>
      <c r="H76" s="137"/>
    </row>
    <row r="77" spans="1:8" ht="31.5" customHeight="1" x14ac:dyDescent="0.25">
      <c r="A77" s="129" t="s">
        <v>776</v>
      </c>
      <c r="B77" s="128" t="s">
        <v>775</v>
      </c>
      <c r="C77" s="127">
        <f>C78+C79</f>
        <v>181559.7</v>
      </c>
      <c r="D77" s="127">
        <f>D78+D79</f>
        <v>181559.7</v>
      </c>
      <c r="E77" s="127">
        <f t="shared" si="4"/>
        <v>100</v>
      </c>
    </row>
    <row r="78" spans="1:8" ht="32.25" customHeight="1" x14ac:dyDescent="0.25">
      <c r="A78" s="129" t="s">
        <v>774</v>
      </c>
      <c r="B78" s="128" t="s">
        <v>773</v>
      </c>
      <c r="C78" s="127">
        <v>154012.70000000001</v>
      </c>
      <c r="D78" s="127">
        <v>154012.70000000001</v>
      </c>
      <c r="E78" s="127">
        <f t="shared" si="4"/>
        <v>100</v>
      </c>
    </row>
    <row r="79" spans="1:8" ht="31.5" customHeight="1" x14ac:dyDescent="0.25">
      <c r="A79" s="129" t="s">
        <v>772</v>
      </c>
      <c r="B79" s="128" t="s">
        <v>770</v>
      </c>
      <c r="C79" s="127">
        <v>27547</v>
      </c>
      <c r="D79" s="127">
        <v>27547</v>
      </c>
      <c r="E79" s="127">
        <f t="shared" si="4"/>
        <v>100</v>
      </c>
    </row>
    <row r="80" spans="1:8" ht="47.25" hidden="1" customHeight="1" x14ac:dyDescent="0.25">
      <c r="A80" s="129" t="s">
        <v>771</v>
      </c>
      <c r="B80" s="128" t="s">
        <v>770</v>
      </c>
      <c r="C80" s="127" t="e">
        <f>#REF!+#REF!</f>
        <v>#REF!</v>
      </c>
      <c r="D80" s="127"/>
      <c r="E80" s="127" t="e">
        <f t="shared" si="4"/>
        <v>#REF!</v>
      </c>
    </row>
    <row r="81" spans="1:8" ht="15.75" hidden="1" customHeight="1" x14ac:dyDescent="0.25">
      <c r="A81" s="129" t="s">
        <v>769</v>
      </c>
      <c r="B81" s="128" t="s">
        <v>768</v>
      </c>
      <c r="C81" s="127" t="e">
        <f>#REF!+#REF!</f>
        <v>#REF!</v>
      </c>
      <c r="D81" s="127"/>
      <c r="E81" s="127" t="e">
        <f t="shared" si="4"/>
        <v>#REF!</v>
      </c>
    </row>
    <row r="82" spans="1:8" ht="15.75" hidden="1" customHeight="1" x14ac:dyDescent="0.25">
      <c r="A82" s="129" t="s">
        <v>767</v>
      </c>
      <c r="B82" s="128" t="s">
        <v>766</v>
      </c>
      <c r="C82" s="127" t="e">
        <f>#REF!+#REF!</f>
        <v>#REF!</v>
      </c>
      <c r="D82" s="127"/>
      <c r="E82" s="127" t="e">
        <f t="shared" si="4"/>
        <v>#REF!</v>
      </c>
    </row>
    <row r="83" spans="1:8" ht="39.75" customHeight="1" x14ac:dyDescent="0.25">
      <c r="A83" s="129" t="s">
        <v>765</v>
      </c>
      <c r="B83" s="128" t="s">
        <v>764</v>
      </c>
      <c r="C83" s="127">
        <f>C85+C86+C87+C88+C89+C93+C94</f>
        <v>152552.91581000001</v>
      </c>
      <c r="D83" s="127">
        <f>D85+D86+D87+D88+D89+D93+D94</f>
        <v>152552.91581000001</v>
      </c>
      <c r="E83" s="127">
        <f t="shared" si="4"/>
        <v>100</v>
      </c>
    </row>
    <row r="84" spans="1:8" ht="111" hidden="1" customHeight="1" x14ac:dyDescent="0.25">
      <c r="A84" s="129" t="s">
        <v>763</v>
      </c>
      <c r="B84" s="128" t="s">
        <v>762</v>
      </c>
      <c r="C84" s="127" t="e">
        <f>#REF!+#REF!</f>
        <v>#REF!</v>
      </c>
      <c r="D84" s="127"/>
      <c r="E84" s="169" t="e">
        <f t="shared" si="4"/>
        <v>#REF!</v>
      </c>
    </row>
    <row r="85" spans="1:8" ht="66" customHeight="1" x14ac:dyDescent="0.25">
      <c r="A85" s="129" t="s">
        <v>761</v>
      </c>
      <c r="B85" s="128" t="s">
        <v>760</v>
      </c>
      <c r="C85" s="127">
        <v>2516.8686899999998</v>
      </c>
      <c r="D85" s="167">
        <v>2516.8686899999998</v>
      </c>
      <c r="E85" s="127">
        <f t="shared" si="4"/>
        <v>100</v>
      </c>
      <c r="F85" s="168"/>
    </row>
    <row r="86" spans="1:8" ht="66" customHeight="1" x14ac:dyDescent="0.25">
      <c r="A86" s="129" t="s">
        <v>759</v>
      </c>
      <c r="B86" s="144" t="s">
        <v>758</v>
      </c>
      <c r="C86" s="127">
        <v>14014.57062</v>
      </c>
      <c r="D86" s="127">
        <v>14014.57062</v>
      </c>
      <c r="E86" s="170">
        <f t="shared" si="4"/>
        <v>100</v>
      </c>
    </row>
    <row r="87" spans="1:8" ht="54" customHeight="1" x14ac:dyDescent="0.25">
      <c r="A87" s="129" t="s">
        <v>757</v>
      </c>
      <c r="B87" s="128" t="s">
        <v>756</v>
      </c>
      <c r="C87" s="127">
        <v>1264.9615100000001</v>
      </c>
      <c r="D87" s="127">
        <v>1264.9615100000001</v>
      </c>
      <c r="E87" s="127">
        <f t="shared" si="4"/>
        <v>100</v>
      </c>
    </row>
    <row r="88" spans="1:8" ht="55.5" customHeight="1" x14ac:dyDescent="0.25">
      <c r="A88" s="129" t="s">
        <v>755</v>
      </c>
      <c r="B88" s="128" t="s">
        <v>754</v>
      </c>
      <c r="C88" s="127">
        <v>565.93258000000003</v>
      </c>
      <c r="D88" s="127">
        <v>565.93258000000003</v>
      </c>
      <c r="E88" s="127">
        <f t="shared" si="4"/>
        <v>100</v>
      </c>
    </row>
    <row r="89" spans="1:8" ht="21.75" customHeight="1" x14ac:dyDescent="0.25">
      <c r="A89" s="129" t="s">
        <v>750</v>
      </c>
      <c r="B89" s="128" t="s">
        <v>753</v>
      </c>
      <c r="C89" s="127">
        <v>10505.66179</v>
      </c>
      <c r="D89" s="127">
        <v>10505.66179</v>
      </c>
      <c r="E89" s="127">
        <f t="shared" si="4"/>
        <v>100</v>
      </c>
    </row>
    <row r="90" spans="1:8" ht="64.5" hidden="1" customHeight="1" x14ac:dyDescent="0.25">
      <c r="A90" s="133" t="s">
        <v>750</v>
      </c>
      <c r="B90" s="140" t="s">
        <v>752</v>
      </c>
      <c r="C90" s="127">
        <v>0</v>
      </c>
      <c r="D90" s="127"/>
      <c r="E90" s="127"/>
      <c r="G90" s="143"/>
    </row>
    <row r="91" spans="1:8" ht="42.75" hidden="1" customHeight="1" x14ac:dyDescent="0.25">
      <c r="A91" s="133" t="s">
        <v>750</v>
      </c>
      <c r="B91" s="132" t="s">
        <v>751</v>
      </c>
      <c r="C91" s="127">
        <v>101.01011</v>
      </c>
      <c r="D91" s="127"/>
      <c r="E91" s="127">
        <f t="shared" ref="E91:E122" si="5">D91/C91*100</f>
        <v>0</v>
      </c>
    </row>
    <row r="92" spans="1:8" ht="56.25" hidden="1" customHeight="1" x14ac:dyDescent="0.25">
      <c r="A92" s="133" t="s">
        <v>750</v>
      </c>
      <c r="B92" s="132" t="s">
        <v>749</v>
      </c>
      <c r="C92" s="127">
        <v>10299.613799999999</v>
      </c>
      <c r="D92" s="127"/>
      <c r="E92" s="127">
        <f t="shared" si="5"/>
        <v>0</v>
      </c>
    </row>
    <row r="93" spans="1:8" ht="64.5" customHeight="1" x14ac:dyDescent="0.25">
      <c r="A93" s="129" t="s">
        <v>748</v>
      </c>
      <c r="B93" s="128" t="s">
        <v>747</v>
      </c>
      <c r="C93" s="127">
        <v>486.56662</v>
      </c>
      <c r="D93" s="127">
        <v>486.56662</v>
      </c>
      <c r="E93" s="127">
        <f t="shared" si="5"/>
        <v>100</v>
      </c>
    </row>
    <row r="94" spans="1:8" ht="21.75" customHeight="1" x14ac:dyDescent="0.25">
      <c r="A94" s="129" t="s">
        <v>746</v>
      </c>
      <c r="B94" s="128" t="s">
        <v>745</v>
      </c>
      <c r="C94" s="127">
        <f>C95</f>
        <v>123198.35399999999</v>
      </c>
      <c r="D94" s="127">
        <f>D95</f>
        <v>123198.35399999999</v>
      </c>
      <c r="E94" s="127">
        <f t="shared" si="5"/>
        <v>100</v>
      </c>
    </row>
    <row r="95" spans="1:8" ht="21.75" customHeight="1" x14ac:dyDescent="0.25">
      <c r="A95" s="129" t="s">
        <v>744</v>
      </c>
      <c r="B95" s="128" t="s">
        <v>743</v>
      </c>
      <c r="C95" s="142">
        <f>C96+C97+C98+C99+C100+C101+C102+C103+C104+C105+C106+C107</f>
        <v>123198.35399999999</v>
      </c>
      <c r="D95" s="127">
        <f>D96+D97+D98+D99+D100+D101+D102+D103+D104+D105+D106+D107</f>
        <v>123198.35399999999</v>
      </c>
      <c r="E95" s="127">
        <f t="shared" si="5"/>
        <v>100</v>
      </c>
    </row>
    <row r="96" spans="1:8" ht="69.75" customHeight="1" x14ac:dyDescent="0.25">
      <c r="A96" s="133" t="s">
        <v>742</v>
      </c>
      <c r="B96" s="140" t="s">
        <v>741</v>
      </c>
      <c r="C96" s="127">
        <v>1101.5</v>
      </c>
      <c r="D96" s="127">
        <v>1101.5</v>
      </c>
      <c r="E96" s="127">
        <f t="shared" si="5"/>
        <v>100</v>
      </c>
      <c r="G96" s="141"/>
      <c r="H96" s="141"/>
    </row>
    <row r="97" spans="1:8" ht="87" customHeight="1" x14ac:dyDescent="0.25">
      <c r="A97" s="133" t="s">
        <v>740</v>
      </c>
      <c r="B97" s="140" t="s">
        <v>739</v>
      </c>
      <c r="C97" s="127">
        <v>3062.8029999999999</v>
      </c>
      <c r="D97" s="127">
        <v>3062.8029999999999</v>
      </c>
      <c r="E97" s="127">
        <f t="shared" si="5"/>
        <v>100</v>
      </c>
    </row>
    <row r="98" spans="1:8" ht="63.75" customHeight="1" x14ac:dyDescent="0.25">
      <c r="A98" s="133" t="s">
        <v>738</v>
      </c>
      <c r="B98" s="140" t="s">
        <v>737</v>
      </c>
      <c r="C98" s="127">
        <v>83794.7</v>
      </c>
      <c r="D98" s="127">
        <v>83794.7</v>
      </c>
      <c r="E98" s="127">
        <f t="shared" si="5"/>
        <v>100</v>
      </c>
    </row>
    <row r="99" spans="1:8" ht="87.75" customHeight="1" x14ac:dyDescent="0.25">
      <c r="A99" s="133" t="s">
        <v>736</v>
      </c>
      <c r="B99" s="140" t="s">
        <v>735</v>
      </c>
      <c r="C99" s="127">
        <v>2926.643</v>
      </c>
      <c r="D99" s="127">
        <v>2926.643</v>
      </c>
      <c r="E99" s="127">
        <f t="shared" si="5"/>
        <v>100</v>
      </c>
    </row>
    <row r="100" spans="1:8" ht="45" customHeight="1" x14ac:dyDescent="0.25">
      <c r="A100" s="133" t="s">
        <v>734</v>
      </c>
      <c r="B100" s="140" t="s">
        <v>733</v>
      </c>
      <c r="C100" s="127">
        <v>6658.5</v>
      </c>
      <c r="D100" s="127">
        <v>6658.5</v>
      </c>
      <c r="E100" s="127">
        <f t="shared" si="5"/>
        <v>100</v>
      </c>
    </row>
    <row r="101" spans="1:8" ht="63" customHeight="1" x14ac:dyDescent="0.25">
      <c r="A101" s="133" t="s">
        <v>732</v>
      </c>
      <c r="B101" s="140" t="s">
        <v>731</v>
      </c>
      <c r="C101" s="127">
        <v>10628.03</v>
      </c>
      <c r="D101" s="127">
        <v>10628.03</v>
      </c>
      <c r="E101" s="127">
        <f t="shared" si="5"/>
        <v>100</v>
      </c>
    </row>
    <row r="102" spans="1:8" ht="62.25" customHeight="1" x14ac:dyDescent="0.25">
      <c r="A102" s="133" t="s">
        <v>730</v>
      </c>
      <c r="B102" s="140" t="s">
        <v>729</v>
      </c>
      <c r="C102" s="127">
        <v>566.79999999999995</v>
      </c>
      <c r="D102" s="127">
        <v>566.79999999999995</v>
      </c>
      <c r="E102" s="127">
        <f t="shared" si="5"/>
        <v>100</v>
      </c>
    </row>
    <row r="103" spans="1:8" ht="81.75" customHeight="1" x14ac:dyDescent="0.25">
      <c r="A103" s="133" t="s">
        <v>728</v>
      </c>
      <c r="B103" s="140" t="s">
        <v>727</v>
      </c>
      <c r="C103" s="127">
        <v>2356.1999999999998</v>
      </c>
      <c r="D103" s="127">
        <v>2356.1999999999998</v>
      </c>
      <c r="E103" s="127">
        <f t="shared" si="5"/>
        <v>100</v>
      </c>
    </row>
    <row r="104" spans="1:8" ht="22.5" customHeight="1" x14ac:dyDescent="0.25">
      <c r="A104" s="133" t="s">
        <v>726</v>
      </c>
      <c r="B104" s="130" t="s">
        <v>725</v>
      </c>
      <c r="C104" s="127">
        <v>8688.9779999999992</v>
      </c>
      <c r="D104" s="127">
        <v>8688.9779999999992</v>
      </c>
      <c r="E104" s="127">
        <f t="shared" si="5"/>
        <v>100</v>
      </c>
    </row>
    <row r="105" spans="1:8" ht="64.5" customHeight="1" x14ac:dyDescent="0.25">
      <c r="A105" s="133" t="s">
        <v>724</v>
      </c>
      <c r="B105" s="139" t="s">
        <v>723</v>
      </c>
      <c r="C105" s="127">
        <v>1.9</v>
      </c>
      <c r="D105" s="127">
        <v>1.9</v>
      </c>
      <c r="E105" s="127">
        <f t="shared" si="5"/>
        <v>100</v>
      </c>
    </row>
    <row r="106" spans="1:8" ht="45.75" customHeight="1" x14ac:dyDescent="0.25">
      <c r="A106" s="133" t="s">
        <v>722</v>
      </c>
      <c r="B106" s="139" t="s">
        <v>721</v>
      </c>
      <c r="C106" s="127">
        <v>1764</v>
      </c>
      <c r="D106" s="127">
        <v>1764</v>
      </c>
      <c r="E106" s="127">
        <f t="shared" si="5"/>
        <v>100</v>
      </c>
    </row>
    <row r="107" spans="1:8" ht="66.75" customHeight="1" x14ac:dyDescent="0.25">
      <c r="A107" s="133" t="s">
        <v>720</v>
      </c>
      <c r="B107" s="139" t="s">
        <v>719</v>
      </c>
      <c r="C107" s="127">
        <v>1648.3</v>
      </c>
      <c r="D107" s="127">
        <v>1648.3</v>
      </c>
      <c r="E107" s="127">
        <f t="shared" si="5"/>
        <v>100</v>
      </c>
    </row>
    <row r="108" spans="1:8" ht="36" customHeight="1" x14ac:dyDescent="0.25">
      <c r="A108" s="129" t="s">
        <v>718</v>
      </c>
      <c r="B108" s="128" t="s">
        <v>717</v>
      </c>
      <c r="C108" s="127">
        <f>C121+C136+C137+C138+C146</f>
        <v>258050.79037999999</v>
      </c>
      <c r="D108" s="127">
        <f>D121+D136+D137+D138+D146</f>
        <v>258033.03510000001</v>
      </c>
      <c r="E108" s="127">
        <f t="shared" si="5"/>
        <v>99.993119463042973</v>
      </c>
      <c r="F108" s="138"/>
      <c r="H108" s="137"/>
    </row>
    <row r="109" spans="1:8" ht="33.75" hidden="1" customHeight="1" x14ac:dyDescent="0.25">
      <c r="A109" s="129" t="s">
        <v>716</v>
      </c>
      <c r="B109" s="128" t="s">
        <v>715</v>
      </c>
      <c r="C109" s="127" t="e">
        <f>#REF!+#REF!</f>
        <v>#REF!</v>
      </c>
      <c r="D109" s="127"/>
      <c r="E109" s="127" t="e">
        <f t="shared" si="5"/>
        <v>#REF!</v>
      </c>
    </row>
    <row r="110" spans="1:8" ht="44.25" hidden="1" customHeight="1" x14ac:dyDescent="0.25">
      <c r="A110" s="129" t="s">
        <v>714</v>
      </c>
      <c r="B110" s="128" t="s">
        <v>713</v>
      </c>
      <c r="C110" s="127" t="e">
        <f>#REF!+#REF!</f>
        <v>#REF!</v>
      </c>
      <c r="D110" s="127"/>
      <c r="E110" s="127" t="e">
        <f t="shared" si="5"/>
        <v>#REF!</v>
      </c>
    </row>
    <row r="111" spans="1:8" ht="33.75" hidden="1" customHeight="1" x14ac:dyDescent="0.25">
      <c r="A111" s="129" t="s">
        <v>712</v>
      </c>
      <c r="B111" s="128" t="s">
        <v>711</v>
      </c>
      <c r="C111" s="127" t="e">
        <f>#REF!+#REF!</f>
        <v>#REF!</v>
      </c>
      <c r="D111" s="127"/>
      <c r="E111" s="127" t="e">
        <f t="shared" si="5"/>
        <v>#REF!</v>
      </c>
    </row>
    <row r="112" spans="1:8" ht="36" hidden="1" customHeight="1" x14ac:dyDescent="0.25">
      <c r="A112" s="129" t="s">
        <v>710</v>
      </c>
      <c r="B112" s="128" t="s">
        <v>709</v>
      </c>
      <c r="C112" s="127" t="e">
        <f>#REF!+#REF!</f>
        <v>#REF!</v>
      </c>
      <c r="D112" s="127"/>
      <c r="E112" s="127" t="e">
        <f t="shared" si="5"/>
        <v>#REF!</v>
      </c>
    </row>
    <row r="113" spans="1:7" ht="36" hidden="1" customHeight="1" x14ac:dyDescent="0.25">
      <c r="A113" s="129" t="s">
        <v>708</v>
      </c>
      <c r="B113" s="128" t="s">
        <v>707</v>
      </c>
      <c r="C113" s="127" t="e">
        <f>#REF!+#REF!</f>
        <v>#REF!</v>
      </c>
      <c r="D113" s="127"/>
      <c r="E113" s="127" t="e">
        <f t="shared" si="5"/>
        <v>#REF!</v>
      </c>
    </row>
    <row r="114" spans="1:7" ht="39" hidden="1" customHeight="1" x14ac:dyDescent="0.25">
      <c r="A114" s="129" t="s">
        <v>706</v>
      </c>
      <c r="B114" s="128" t="s">
        <v>705</v>
      </c>
      <c r="C114" s="127" t="e">
        <f>#REF!+#REF!</f>
        <v>#REF!</v>
      </c>
      <c r="D114" s="127"/>
      <c r="E114" s="127" t="e">
        <f t="shared" si="5"/>
        <v>#REF!</v>
      </c>
    </row>
    <row r="115" spans="1:7" ht="40.5" hidden="1" customHeight="1" x14ac:dyDescent="0.25">
      <c r="A115" s="129" t="s">
        <v>704</v>
      </c>
      <c r="B115" s="128" t="s">
        <v>703</v>
      </c>
      <c r="C115" s="127" t="e">
        <f>#REF!+#REF!</f>
        <v>#REF!</v>
      </c>
      <c r="D115" s="127"/>
      <c r="E115" s="127" t="e">
        <f t="shared" si="5"/>
        <v>#REF!</v>
      </c>
    </row>
    <row r="116" spans="1:7" ht="24" hidden="1" customHeight="1" x14ac:dyDescent="0.25">
      <c r="A116" s="129" t="s">
        <v>702</v>
      </c>
      <c r="B116" s="128" t="s">
        <v>701</v>
      </c>
      <c r="C116" s="127" t="e">
        <f>#REF!+#REF!</f>
        <v>#REF!</v>
      </c>
      <c r="D116" s="127"/>
      <c r="E116" s="127" t="e">
        <f t="shared" si="5"/>
        <v>#REF!</v>
      </c>
    </row>
    <row r="117" spans="1:7" ht="24.75" hidden="1" customHeight="1" x14ac:dyDescent="0.25">
      <c r="A117" s="129" t="s">
        <v>700</v>
      </c>
      <c r="B117" s="128" t="s">
        <v>699</v>
      </c>
      <c r="C117" s="127" t="e">
        <f>#REF!+#REF!</f>
        <v>#REF!</v>
      </c>
      <c r="D117" s="127"/>
      <c r="E117" s="127" t="e">
        <f t="shared" si="5"/>
        <v>#REF!</v>
      </c>
    </row>
    <row r="118" spans="1:7" ht="33" hidden="1" customHeight="1" x14ac:dyDescent="0.25">
      <c r="A118" s="129" t="s">
        <v>698</v>
      </c>
      <c r="B118" s="128" t="s">
        <v>697</v>
      </c>
      <c r="C118" s="127" t="e">
        <f>#REF!+#REF!</f>
        <v>#REF!</v>
      </c>
      <c r="D118" s="127"/>
      <c r="E118" s="127" t="e">
        <f t="shared" si="5"/>
        <v>#REF!</v>
      </c>
    </row>
    <row r="119" spans="1:7" ht="37.5" hidden="1" customHeight="1" x14ac:dyDescent="0.25">
      <c r="A119" s="129" t="s">
        <v>696</v>
      </c>
      <c r="B119" s="128" t="s">
        <v>695</v>
      </c>
      <c r="C119" s="127" t="e">
        <f>#REF!+#REF!</f>
        <v>#REF!</v>
      </c>
      <c r="D119" s="127"/>
      <c r="E119" s="127" t="e">
        <f t="shared" si="5"/>
        <v>#REF!</v>
      </c>
    </row>
    <row r="120" spans="1:7" ht="48.75" hidden="1" customHeight="1" x14ac:dyDescent="0.25">
      <c r="A120" s="129" t="s">
        <v>694</v>
      </c>
      <c r="B120" s="128" t="s">
        <v>693</v>
      </c>
      <c r="C120" s="127" t="e">
        <f>#REF!+#REF!</f>
        <v>#REF!</v>
      </c>
      <c r="D120" s="127"/>
      <c r="E120" s="127" t="e">
        <f t="shared" si="5"/>
        <v>#REF!</v>
      </c>
    </row>
    <row r="121" spans="1:7" ht="37.5" customHeight="1" x14ac:dyDescent="0.25">
      <c r="A121" s="129" t="s">
        <v>692</v>
      </c>
      <c r="B121" s="128" t="s">
        <v>691</v>
      </c>
      <c r="C121" s="127">
        <f>C122</f>
        <v>254606.94399999999</v>
      </c>
      <c r="D121" s="127">
        <f>D122</f>
        <v>254606.93719999999</v>
      </c>
      <c r="E121" s="127">
        <f t="shared" si="5"/>
        <v>99.999997329216598</v>
      </c>
    </row>
    <row r="122" spans="1:7" ht="31.5" x14ac:dyDescent="0.25">
      <c r="A122" s="129" t="s">
        <v>690</v>
      </c>
      <c r="B122" s="128" t="s">
        <v>689</v>
      </c>
      <c r="C122" s="127">
        <f>C123+C124+C125+C126+C127+C128+C129+C130+C131+C132+C133+C134+C135</f>
        <v>254606.94399999999</v>
      </c>
      <c r="D122" s="127">
        <f>D123+D124+D125+D126+D127+D128+D129+D130+D131+D132+D133+D134+D135</f>
        <v>254606.93719999999</v>
      </c>
      <c r="E122" s="127">
        <f t="shared" si="5"/>
        <v>99.999997329216598</v>
      </c>
    </row>
    <row r="123" spans="1:7" s="130" customFormat="1" ht="90" customHeight="1" x14ac:dyDescent="0.25">
      <c r="A123" s="133"/>
      <c r="B123" s="136" t="s">
        <v>688</v>
      </c>
      <c r="C123" s="127">
        <v>5786.9</v>
      </c>
      <c r="D123" s="131">
        <v>5786.9</v>
      </c>
      <c r="E123" s="127">
        <f t="shared" ref="E123:E154" si="6">D123/C123*100</f>
        <v>100</v>
      </c>
      <c r="G123" s="135"/>
    </row>
    <row r="124" spans="1:7" s="130" customFormat="1" ht="87" hidden="1" customHeight="1" x14ac:dyDescent="0.25">
      <c r="A124" s="133" t="s">
        <v>687</v>
      </c>
      <c r="B124" s="134" t="s">
        <v>686</v>
      </c>
      <c r="C124" s="127"/>
      <c r="D124" s="131"/>
      <c r="E124" s="127" t="e">
        <f t="shared" si="6"/>
        <v>#DIV/0!</v>
      </c>
    </row>
    <row r="125" spans="1:7" s="130" customFormat="1" ht="87" customHeight="1" x14ac:dyDescent="0.25">
      <c r="A125" s="133" t="s">
        <v>685</v>
      </c>
      <c r="B125" s="132" t="s">
        <v>684</v>
      </c>
      <c r="C125" s="127">
        <v>0.3</v>
      </c>
      <c r="D125" s="131">
        <v>0.3</v>
      </c>
      <c r="E125" s="127">
        <f t="shared" si="6"/>
        <v>100</v>
      </c>
    </row>
    <row r="126" spans="1:7" s="130" customFormat="1" ht="72.75" customHeight="1" x14ac:dyDescent="0.25">
      <c r="A126" s="133" t="s">
        <v>683</v>
      </c>
      <c r="B126" s="134" t="s">
        <v>682</v>
      </c>
      <c r="C126" s="127">
        <v>1154.3440000000001</v>
      </c>
      <c r="D126" s="131">
        <v>1154.3371999999999</v>
      </c>
      <c r="E126" s="127">
        <f t="shared" si="6"/>
        <v>99.999410920834691</v>
      </c>
    </row>
    <row r="127" spans="1:7" s="130" customFormat="1" ht="147" customHeight="1" x14ac:dyDescent="0.25">
      <c r="A127" s="133" t="s">
        <v>681</v>
      </c>
      <c r="B127" s="132" t="s">
        <v>680</v>
      </c>
      <c r="C127" s="127">
        <v>244424.8</v>
      </c>
      <c r="D127" s="131">
        <v>244424.8</v>
      </c>
      <c r="E127" s="127">
        <f t="shared" si="6"/>
        <v>100</v>
      </c>
    </row>
    <row r="128" spans="1:7" s="130" customFormat="1" ht="110.25" x14ac:dyDescent="0.25">
      <c r="A128" s="133" t="s">
        <v>679</v>
      </c>
      <c r="B128" s="134" t="s">
        <v>678</v>
      </c>
      <c r="C128" s="127">
        <v>867.8</v>
      </c>
      <c r="D128" s="131">
        <v>867.8</v>
      </c>
      <c r="E128" s="127">
        <f t="shared" si="6"/>
        <v>100</v>
      </c>
    </row>
    <row r="129" spans="1:5" s="130" customFormat="1" ht="70.5" customHeight="1" x14ac:dyDescent="0.25">
      <c r="A129" s="133" t="s">
        <v>677</v>
      </c>
      <c r="B129" s="132" t="s">
        <v>676</v>
      </c>
      <c r="C129" s="127">
        <v>1316.2</v>
      </c>
      <c r="D129" s="131">
        <v>1316.2</v>
      </c>
      <c r="E129" s="127">
        <f t="shared" si="6"/>
        <v>100</v>
      </c>
    </row>
    <row r="130" spans="1:5" s="130" customFormat="1" ht="70.5" customHeight="1" x14ac:dyDescent="0.25">
      <c r="A130" s="133" t="s">
        <v>675</v>
      </c>
      <c r="B130" s="132" t="s">
        <v>674</v>
      </c>
      <c r="C130" s="127">
        <v>51.5</v>
      </c>
      <c r="D130" s="131">
        <v>51.5</v>
      </c>
      <c r="E130" s="127">
        <f t="shared" si="6"/>
        <v>100</v>
      </c>
    </row>
    <row r="131" spans="1:5" s="130" customFormat="1" ht="78.75" x14ac:dyDescent="0.25">
      <c r="A131" s="133" t="s">
        <v>673</v>
      </c>
      <c r="B131" s="132" t="s">
        <v>672</v>
      </c>
      <c r="C131" s="127">
        <v>245.2</v>
      </c>
      <c r="D131" s="131">
        <v>245.2</v>
      </c>
      <c r="E131" s="127">
        <f t="shared" si="6"/>
        <v>100</v>
      </c>
    </row>
    <row r="132" spans="1:5" s="130" customFormat="1" ht="78.75" x14ac:dyDescent="0.25">
      <c r="A132" s="133" t="s">
        <v>671</v>
      </c>
      <c r="B132" s="132" t="s">
        <v>670</v>
      </c>
      <c r="C132" s="127">
        <v>421.7</v>
      </c>
      <c r="D132" s="131">
        <v>421.7</v>
      </c>
      <c r="E132" s="127">
        <f t="shared" si="6"/>
        <v>100</v>
      </c>
    </row>
    <row r="133" spans="1:5" s="130" customFormat="1" ht="131.25" customHeight="1" x14ac:dyDescent="0.25">
      <c r="A133" s="133" t="s">
        <v>669</v>
      </c>
      <c r="B133" s="132" t="s">
        <v>668</v>
      </c>
      <c r="C133" s="127">
        <v>191.8</v>
      </c>
      <c r="D133" s="131">
        <v>191.8</v>
      </c>
      <c r="E133" s="127">
        <f t="shared" si="6"/>
        <v>100</v>
      </c>
    </row>
    <row r="134" spans="1:5" s="130" customFormat="1" ht="75" customHeight="1" x14ac:dyDescent="0.25">
      <c r="A134" s="133" t="s">
        <v>667</v>
      </c>
      <c r="B134" s="132" t="s">
        <v>666</v>
      </c>
      <c r="C134" s="127">
        <v>57.8</v>
      </c>
      <c r="D134" s="131">
        <v>57.8</v>
      </c>
      <c r="E134" s="127">
        <f t="shared" si="6"/>
        <v>100</v>
      </c>
    </row>
    <row r="135" spans="1:5" s="130" customFormat="1" ht="116.25" customHeight="1" x14ac:dyDescent="0.25">
      <c r="A135" s="133" t="s">
        <v>665</v>
      </c>
      <c r="B135" s="132" t="s">
        <v>664</v>
      </c>
      <c r="C135" s="127">
        <v>88.6</v>
      </c>
      <c r="D135" s="131">
        <v>88.6</v>
      </c>
      <c r="E135" s="127">
        <f t="shared" si="6"/>
        <v>100</v>
      </c>
    </row>
    <row r="136" spans="1:5" ht="101.25" customHeight="1" x14ac:dyDescent="0.25">
      <c r="A136" s="129" t="s">
        <v>663</v>
      </c>
      <c r="B136" s="128" t="s">
        <v>662</v>
      </c>
      <c r="C136" s="127">
        <v>2443.1</v>
      </c>
      <c r="D136" s="127">
        <v>2443.1</v>
      </c>
      <c r="E136" s="127">
        <f t="shared" si="6"/>
        <v>100</v>
      </c>
    </row>
    <row r="137" spans="1:5" ht="73.5" customHeight="1" x14ac:dyDescent="0.25">
      <c r="A137" s="129" t="s">
        <v>661</v>
      </c>
      <c r="B137" s="128" t="s">
        <v>660</v>
      </c>
      <c r="C137" s="127">
        <v>9.4</v>
      </c>
      <c r="D137" s="127"/>
      <c r="E137" s="127">
        <f t="shared" si="6"/>
        <v>0</v>
      </c>
    </row>
    <row r="138" spans="1:5" ht="51" customHeight="1" x14ac:dyDescent="0.25">
      <c r="A138" s="129" t="s">
        <v>659</v>
      </c>
      <c r="B138" s="128" t="s">
        <v>658</v>
      </c>
      <c r="C138" s="127">
        <v>782.73</v>
      </c>
      <c r="D138" s="127">
        <v>782.73</v>
      </c>
      <c r="E138" s="127">
        <f t="shared" si="6"/>
        <v>100</v>
      </c>
    </row>
    <row r="139" spans="1:5" ht="110.25" hidden="1" customHeight="1" x14ac:dyDescent="0.25">
      <c r="A139" s="129" t="s">
        <v>657</v>
      </c>
      <c r="B139" s="128" t="s">
        <v>656</v>
      </c>
      <c r="C139" s="127" t="e">
        <f>#REF!+#REF!</f>
        <v>#REF!</v>
      </c>
      <c r="D139" s="127"/>
      <c r="E139" s="127" t="e">
        <f t="shared" si="6"/>
        <v>#REF!</v>
      </c>
    </row>
    <row r="140" spans="1:5" ht="63" hidden="1" customHeight="1" x14ac:dyDescent="0.25">
      <c r="A140" s="129" t="s">
        <v>655</v>
      </c>
      <c r="B140" s="128" t="s">
        <v>654</v>
      </c>
      <c r="C140" s="127" t="e">
        <f>#REF!+#REF!</f>
        <v>#REF!</v>
      </c>
      <c r="D140" s="127"/>
      <c r="E140" s="127" t="e">
        <f t="shared" si="6"/>
        <v>#REF!</v>
      </c>
    </row>
    <row r="141" spans="1:5" ht="63" hidden="1" customHeight="1" x14ac:dyDescent="0.25">
      <c r="A141" s="129" t="s">
        <v>653</v>
      </c>
      <c r="B141" s="128" t="s">
        <v>652</v>
      </c>
      <c r="C141" s="127" t="e">
        <f>#REF!+#REF!</f>
        <v>#REF!</v>
      </c>
      <c r="D141" s="127"/>
      <c r="E141" s="127" t="e">
        <f t="shared" si="6"/>
        <v>#REF!</v>
      </c>
    </row>
    <row r="142" spans="1:5" ht="94.5" hidden="1" x14ac:dyDescent="0.25">
      <c r="A142" s="129" t="s">
        <v>651</v>
      </c>
      <c r="B142" s="128" t="s">
        <v>650</v>
      </c>
      <c r="C142" s="127" t="e">
        <f>#REF!+#REF!</f>
        <v>#REF!</v>
      </c>
      <c r="D142" s="127"/>
      <c r="E142" s="127" t="e">
        <f t="shared" si="6"/>
        <v>#REF!</v>
      </c>
    </row>
    <row r="143" spans="1:5" ht="94.5" hidden="1" x14ac:dyDescent="0.25">
      <c r="A143" s="129" t="s">
        <v>649</v>
      </c>
      <c r="B143" s="128" t="s">
        <v>648</v>
      </c>
      <c r="C143" s="127" t="e">
        <f>#REF!+#REF!</f>
        <v>#REF!</v>
      </c>
      <c r="D143" s="127"/>
      <c r="E143" s="127" t="e">
        <f t="shared" si="6"/>
        <v>#REF!</v>
      </c>
    </row>
    <row r="144" spans="1:5" ht="31.5" hidden="1" x14ac:dyDescent="0.25">
      <c r="A144" s="129" t="s">
        <v>647</v>
      </c>
      <c r="B144" s="128" t="s">
        <v>646</v>
      </c>
      <c r="C144" s="127" t="e">
        <f>#REF!+#REF!</f>
        <v>#REF!</v>
      </c>
      <c r="D144" s="127"/>
      <c r="E144" s="127" t="e">
        <f t="shared" si="6"/>
        <v>#REF!</v>
      </c>
    </row>
    <row r="145" spans="1:5" ht="47.25" hidden="1" x14ac:dyDescent="0.25">
      <c r="A145" s="129" t="s">
        <v>645</v>
      </c>
      <c r="B145" s="128" t="s">
        <v>644</v>
      </c>
      <c r="C145" s="127" t="e">
        <f>#REF!+#REF!</f>
        <v>#REF!</v>
      </c>
      <c r="D145" s="127"/>
      <c r="E145" s="127" t="e">
        <f t="shared" si="6"/>
        <v>#REF!</v>
      </c>
    </row>
    <row r="146" spans="1:5" ht="42.75" customHeight="1" x14ac:dyDescent="0.25">
      <c r="A146" s="129" t="s">
        <v>643</v>
      </c>
      <c r="B146" s="128" t="s">
        <v>642</v>
      </c>
      <c r="C146" s="127">
        <v>208.61637999999999</v>
      </c>
      <c r="D146" s="127">
        <v>200.2679</v>
      </c>
      <c r="E146" s="127">
        <f t="shared" si="6"/>
        <v>95.998166586919027</v>
      </c>
    </row>
    <row r="147" spans="1:5" x14ac:dyDescent="0.25">
      <c r="A147" s="129" t="s">
        <v>641</v>
      </c>
      <c r="B147" s="128" t="s">
        <v>640</v>
      </c>
      <c r="C147" s="127">
        <f>C148+C153+C154+C155</f>
        <v>26152.006999999998</v>
      </c>
      <c r="D147" s="127">
        <f>D148+D153+D154+D155</f>
        <v>24122.877799999998</v>
      </c>
      <c r="E147" s="127">
        <f t="shared" si="6"/>
        <v>92.241019207435968</v>
      </c>
    </row>
    <row r="148" spans="1:5" ht="57.75" customHeight="1" x14ac:dyDescent="0.25">
      <c r="A148" s="129" t="s">
        <v>639</v>
      </c>
      <c r="B148" s="128" t="s">
        <v>638</v>
      </c>
      <c r="C148" s="127">
        <v>99</v>
      </c>
      <c r="D148" s="127">
        <v>99</v>
      </c>
      <c r="E148" s="127">
        <f t="shared" si="6"/>
        <v>100</v>
      </c>
    </row>
    <row r="149" spans="1:5" ht="94.5" hidden="1" x14ac:dyDescent="0.25">
      <c r="A149" s="129" t="s">
        <v>637</v>
      </c>
      <c r="B149" s="128" t="s">
        <v>636</v>
      </c>
      <c r="C149" s="127" t="e">
        <f>#REF!+#REF!</f>
        <v>#REF!</v>
      </c>
      <c r="D149" s="127"/>
      <c r="E149" s="127" t="e">
        <f t="shared" si="6"/>
        <v>#REF!</v>
      </c>
    </row>
    <row r="150" spans="1:5" ht="63" hidden="1" x14ac:dyDescent="0.25">
      <c r="A150" s="129" t="s">
        <v>635</v>
      </c>
      <c r="B150" s="128" t="s">
        <v>634</v>
      </c>
      <c r="C150" s="127" t="e">
        <f>#REF!+#REF!</f>
        <v>#REF!</v>
      </c>
      <c r="D150" s="127"/>
      <c r="E150" s="127" t="e">
        <f t="shared" si="6"/>
        <v>#REF!</v>
      </c>
    </row>
    <row r="151" spans="1:5" ht="47.25" hidden="1" x14ac:dyDescent="0.25">
      <c r="A151" s="129" t="s">
        <v>633</v>
      </c>
      <c r="B151" s="128" t="s">
        <v>615</v>
      </c>
      <c r="C151" s="127" t="e">
        <f>#REF!+#REF!</f>
        <v>#REF!</v>
      </c>
      <c r="D151" s="127"/>
      <c r="E151" s="127" t="e">
        <f t="shared" si="6"/>
        <v>#REF!</v>
      </c>
    </row>
    <row r="152" spans="1:5" ht="47.25" hidden="1" x14ac:dyDescent="0.25">
      <c r="A152" s="129" t="s">
        <v>632</v>
      </c>
      <c r="B152" s="128" t="s">
        <v>631</v>
      </c>
      <c r="C152" s="127" t="e">
        <f>#REF!+#REF!</f>
        <v>#REF!</v>
      </c>
      <c r="D152" s="127"/>
      <c r="E152" s="127" t="e">
        <f t="shared" si="6"/>
        <v>#REF!</v>
      </c>
    </row>
    <row r="153" spans="1:5" ht="86.25" customHeight="1" x14ac:dyDescent="0.25">
      <c r="A153" s="129" t="s">
        <v>630</v>
      </c>
      <c r="B153" s="128" t="s">
        <v>629</v>
      </c>
      <c r="C153" s="127">
        <v>19300</v>
      </c>
      <c r="D153" s="127">
        <v>19300</v>
      </c>
      <c r="E153" s="127">
        <f t="shared" si="6"/>
        <v>100</v>
      </c>
    </row>
    <row r="154" spans="1:5" ht="98.25" customHeight="1" x14ac:dyDescent="0.25">
      <c r="A154" s="129" t="s">
        <v>628</v>
      </c>
      <c r="B154" s="128" t="s">
        <v>627</v>
      </c>
      <c r="C154" s="127">
        <v>6013.9070000000002</v>
      </c>
      <c r="D154" s="127">
        <v>3984.7777999999998</v>
      </c>
      <c r="E154" s="127">
        <f t="shared" si="6"/>
        <v>66.259385121851736</v>
      </c>
    </row>
    <row r="155" spans="1:5" ht="42" customHeight="1" x14ac:dyDescent="0.25">
      <c r="A155" s="129" t="s">
        <v>626</v>
      </c>
      <c r="B155" s="128" t="s">
        <v>625</v>
      </c>
      <c r="C155" s="127">
        <v>739.1</v>
      </c>
      <c r="D155" s="127">
        <v>739.1</v>
      </c>
      <c r="E155" s="127">
        <f t="shared" ref="E155:E162" si="7">D155/C155*100</f>
        <v>100</v>
      </c>
    </row>
    <row r="156" spans="1:5" ht="65.25" customHeight="1" x14ac:dyDescent="0.25">
      <c r="A156" s="129"/>
      <c r="B156" s="128" t="s">
        <v>624</v>
      </c>
      <c r="C156" s="127">
        <f>C157++C158+C159+C160</f>
        <v>1614.2174799999998</v>
      </c>
      <c r="D156" s="127">
        <f>D157++D158+D159+D160</f>
        <v>1614.2174799999998</v>
      </c>
      <c r="E156" s="127">
        <f t="shared" si="7"/>
        <v>100</v>
      </c>
    </row>
    <row r="157" spans="1:5" ht="39" customHeight="1" x14ac:dyDescent="0.25">
      <c r="A157" s="129" t="s">
        <v>623</v>
      </c>
      <c r="B157" s="128" t="s">
        <v>622</v>
      </c>
      <c r="C157" s="127">
        <v>535.33295999999996</v>
      </c>
      <c r="D157" s="127">
        <v>535.33295999999996</v>
      </c>
      <c r="E157" s="127">
        <f t="shared" si="7"/>
        <v>100</v>
      </c>
    </row>
    <row r="158" spans="1:5" ht="39" customHeight="1" x14ac:dyDescent="0.25">
      <c r="A158" s="129" t="s">
        <v>621</v>
      </c>
      <c r="B158" s="128" t="s">
        <v>620</v>
      </c>
      <c r="C158" s="127">
        <v>175.83518000000001</v>
      </c>
      <c r="D158" s="127">
        <v>175.83518000000001</v>
      </c>
      <c r="E158" s="127">
        <f t="shared" si="7"/>
        <v>100</v>
      </c>
    </row>
    <row r="159" spans="1:5" ht="43.5" customHeight="1" x14ac:dyDescent="0.25">
      <c r="A159" s="129" t="s">
        <v>619</v>
      </c>
      <c r="B159" s="128" t="s">
        <v>618</v>
      </c>
      <c r="C159" s="127">
        <v>95.0685</v>
      </c>
      <c r="D159" s="127">
        <v>95.0685</v>
      </c>
      <c r="E159" s="127">
        <f t="shared" si="7"/>
        <v>100</v>
      </c>
    </row>
    <row r="160" spans="1:5" ht="51.75" customHeight="1" x14ac:dyDescent="0.25">
      <c r="A160" s="129" t="s">
        <v>617</v>
      </c>
      <c r="B160" s="128" t="s">
        <v>616</v>
      </c>
      <c r="C160" s="127">
        <v>807.98083999999994</v>
      </c>
      <c r="D160" s="127">
        <v>807.98083999999994</v>
      </c>
      <c r="E160" s="127">
        <f t="shared" si="7"/>
        <v>100</v>
      </c>
    </row>
    <row r="161" spans="1:5" ht="47.25" x14ac:dyDescent="0.25">
      <c r="A161" s="129"/>
      <c r="B161" s="128" t="s">
        <v>615</v>
      </c>
      <c r="C161" s="127">
        <f>C162</f>
        <v>-27071.793259999999</v>
      </c>
      <c r="D161" s="127">
        <f>D162</f>
        <v>-27071.793259999999</v>
      </c>
      <c r="E161" s="127">
        <f t="shared" si="7"/>
        <v>100</v>
      </c>
    </row>
    <row r="162" spans="1:5" ht="59.25" customHeight="1" x14ac:dyDescent="0.25">
      <c r="A162" s="129" t="s">
        <v>614</v>
      </c>
      <c r="B162" s="128" t="s">
        <v>613</v>
      </c>
      <c r="C162" s="127">
        <v>-27071.793259999999</v>
      </c>
      <c r="D162" s="127">
        <v>-27071.793259999999</v>
      </c>
      <c r="E162" s="127">
        <f t="shared" si="7"/>
        <v>100</v>
      </c>
    </row>
  </sheetData>
  <mergeCells count="3">
    <mergeCell ref="D3:E3"/>
    <mergeCell ref="A6:E6"/>
    <mergeCell ref="D2:E2"/>
  </mergeCells>
  <pageMargins left="1.1811023622047245" right="0.59055118110236227" top="0.39370078740157483" bottom="0.39370078740157483" header="0" footer="0.31496062992125984"/>
  <pageSetup paperSize="9" scale="5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BreakPreview" topLeftCell="A26" zoomScaleNormal="100" zoomScaleSheetLayoutView="100" workbookViewId="0">
      <selection activeCell="A67" sqref="A67:XFD69"/>
    </sheetView>
  </sheetViews>
  <sheetFormatPr defaultRowHeight="15" x14ac:dyDescent="0.25"/>
  <cols>
    <col min="1" max="1" width="44.85546875" style="7" customWidth="1"/>
    <col min="3" max="3" width="9.140625" style="6"/>
    <col min="4" max="4" width="12.85546875" style="52" customWidth="1"/>
    <col min="5" max="5" width="15.7109375" style="52" customWidth="1"/>
  </cols>
  <sheetData>
    <row r="1" spans="1:6" s="7" customFormat="1" ht="12.75" customHeight="1" x14ac:dyDescent="0.25">
      <c r="A1" s="17"/>
      <c r="C1" s="48"/>
      <c r="D1" s="171" t="s">
        <v>562</v>
      </c>
      <c r="E1" s="172"/>
      <c r="F1" s="172"/>
    </row>
    <row r="2" spans="1:6" s="7" customFormat="1" ht="38.25" customHeight="1" x14ac:dyDescent="0.2">
      <c r="A2" s="17"/>
      <c r="C2" s="49"/>
      <c r="D2" s="173" t="s">
        <v>561</v>
      </c>
      <c r="E2" s="190"/>
      <c r="F2" s="191"/>
    </row>
    <row r="3" spans="1:6" s="7" customFormat="1" ht="29.25" customHeight="1" x14ac:dyDescent="0.25">
      <c r="A3" s="196" t="s">
        <v>565</v>
      </c>
      <c r="B3" s="197"/>
      <c r="C3" s="197"/>
      <c r="D3" s="184"/>
      <c r="E3" s="184"/>
    </row>
    <row r="4" spans="1:6" s="7" customFormat="1" x14ac:dyDescent="0.25">
      <c r="A4" s="74"/>
      <c r="B4" s="75"/>
      <c r="C4" s="75"/>
      <c r="D4" s="76"/>
      <c r="E4" s="192" t="s">
        <v>136</v>
      </c>
      <c r="F4" s="193"/>
    </row>
    <row r="5" spans="1:6" s="8" customFormat="1" ht="42" customHeight="1" x14ac:dyDescent="0.2">
      <c r="A5" s="166" t="s">
        <v>183</v>
      </c>
      <c r="B5" s="194" t="s">
        <v>182</v>
      </c>
      <c r="C5" s="195"/>
      <c r="D5" s="73" t="s">
        <v>560</v>
      </c>
      <c r="E5" s="73" t="s">
        <v>559</v>
      </c>
      <c r="F5" s="73" t="s">
        <v>915</v>
      </c>
    </row>
    <row r="6" spans="1:6" s="8" customFormat="1" ht="18.75" customHeight="1" x14ac:dyDescent="0.2">
      <c r="A6" s="11" t="s">
        <v>132</v>
      </c>
      <c r="B6" s="187" t="s">
        <v>181</v>
      </c>
      <c r="C6" s="188"/>
      <c r="D6" s="64">
        <f t="shared" ref="D6:E6" si="0">SUM(D7:D14)</f>
        <v>31089.645389999998</v>
      </c>
      <c r="E6" s="64">
        <f t="shared" si="0"/>
        <v>31021.713309999992</v>
      </c>
      <c r="F6" s="78">
        <f>E6/D6*100</f>
        <v>99.781496124681254</v>
      </c>
    </row>
    <row r="7" spans="1:6" s="8" customFormat="1" ht="25.5" x14ac:dyDescent="0.2">
      <c r="A7" s="14" t="s">
        <v>180</v>
      </c>
      <c r="B7" s="13" t="s">
        <v>12</v>
      </c>
      <c r="C7" s="12" t="s">
        <v>23</v>
      </c>
      <c r="D7" s="65">
        <f>'Вед стр 21г'!G567</f>
        <v>2222.96164</v>
      </c>
      <c r="E7" s="65">
        <f>'Вед стр 21г'!H567</f>
        <v>2222.96164</v>
      </c>
      <c r="F7" s="77">
        <f>E7/D7*100</f>
        <v>100</v>
      </c>
    </row>
    <row r="8" spans="1:6" s="8" customFormat="1" ht="25.5" x14ac:dyDescent="0.2">
      <c r="A8" s="14" t="s">
        <v>179</v>
      </c>
      <c r="B8" s="13" t="s">
        <v>12</v>
      </c>
      <c r="C8" s="12" t="s">
        <v>6</v>
      </c>
      <c r="D8" s="65">
        <f>'Вед стр 21г'!G568</f>
        <v>2134.7073700000001</v>
      </c>
      <c r="E8" s="65">
        <f>'Вед стр 21г'!H568</f>
        <v>2107.7073600000003</v>
      </c>
      <c r="F8" s="77">
        <f t="shared" ref="F8:F66" si="1">E8/D8*100</f>
        <v>98.735189170214014</v>
      </c>
    </row>
    <row r="9" spans="1:6" s="8" customFormat="1" ht="12.75" x14ac:dyDescent="0.2">
      <c r="A9" s="14" t="s">
        <v>178</v>
      </c>
      <c r="B9" s="13" t="s">
        <v>12</v>
      </c>
      <c r="C9" s="12" t="s">
        <v>52</v>
      </c>
      <c r="D9" s="65">
        <f>'Вед стр 21г'!G569</f>
        <v>17851.06927</v>
      </c>
      <c r="E9" s="65">
        <f>'Вед стр 21г'!H569</f>
        <v>17832.352669999997</v>
      </c>
      <c r="F9" s="77">
        <f t="shared" si="1"/>
        <v>99.895151378794665</v>
      </c>
    </row>
    <row r="10" spans="1:6" s="8" customFormat="1" ht="12.75" x14ac:dyDescent="0.2">
      <c r="A10" s="14" t="s">
        <v>177</v>
      </c>
      <c r="B10" s="13" t="s">
        <v>12</v>
      </c>
      <c r="C10" s="12" t="s">
        <v>30</v>
      </c>
      <c r="D10" s="65">
        <f>'Вед стр 21г'!G570</f>
        <v>9.4</v>
      </c>
      <c r="E10" s="65">
        <f>'Вед стр 21г'!H570</f>
        <v>0</v>
      </c>
      <c r="F10" s="77">
        <f t="shared" si="1"/>
        <v>0</v>
      </c>
    </row>
    <row r="11" spans="1:6" s="8" customFormat="1" ht="27.75" customHeight="1" x14ac:dyDescent="0.2">
      <c r="A11" s="14" t="s">
        <v>176</v>
      </c>
      <c r="B11" s="13" t="s">
        <v>12</v>
      </c>
      <c r="C11" s="12" t="s">
        <v>46</v>
      </c>
      <c r="D11" s="65">
        <f>'Вед стр 21г'!G571</f>
        <v>7242.5907299999999</v>
      </c>
      <c r="E11" s="65">
        <f>'Вед стр 21г'!H571</f>
        <v>7238.12374</v>
      </c>
      <c r="F11" s="77">
        <f t="shared" si="1"/>
        <v>99.938323313210333</v>
      </c>
    </row>
    <row r="12" spans="1:6" s="8" customFormat="1" ht="15.75" customHeight="1" x14ac:dyDescent="0.2">
      <c r="A12" s="14" t="s">
        <v>112</v>
      </c>
      <c r="B12" s="13" t="s">
        <v>12</v>
      </c>
      <c r="C12" s="12" t="s">
        <v>69</v>
      </c>
      <c r="D12" s="65">
        <f>'Вед стр 21г'!G572</f>
        <v>255.8</v>
      </c>
      <c r="E12" s="65">
        <f>'Вед стр 21г'!H572</f>
        <v>255.8</v>
      </c>
      <c r="F12" s="77">
        <f t="shared" si="1"/>
        <v>100</v>
      </c>
    </row>
    <row r="13" spans="1:6" s="8" customFormat="1" ht="12.75" hidden="1" x14ac:dyDescent="0.2">
      <c r="A13" s="14" t="s">
        <v>111</v>
      </c>
      <c r="B13" s="13" t="s">
        <v>12</v>
      </c>
      <c r="C13" s="12" t="s">
        <v>31</v>
      </c>
      <c r="D13" s="65">
        <f>'Вед стр 21г'!G573</f>
        <v>0</v>
      </c>
      <c r="E13" s="65">
        <f>'Вед стр 21г'!H573</f>
        <v>0</v>
      </c>
      <c r="F13" s="77" t="e">
        <f t="shared" si="1"/>
        <v>#DIV/0!</v>
      </c>
    </row>
    <row r="14" spans="1:6" s="8" customFormat="1" ht="12.75" x14ac:dyDescent="0.2">
      <c r="A14" s="4" t="s">
        <v>110</v>
      </c>
      <c r="B14" s="13" t="s">
        <v>12</v>
      </c>
      <c r="C14" s="12" t="s">
        <v>20</v>
      </c>
      <c r="D14" s="65">
        <f>'Вед стр 21г'!G574</f>
        <v>1373.1163800000002</v>
      </c>
      <c r="E14" s="65">
        <f>'Вед стр 21г'!H574</f>
        <v>1364.7679000000001</v>
      </c>
      <c r="F14" s="77">
        <f t="shared" si="1"/>
        <v>99.392004922408688</v>
      </c>
    </row>
    <row r="15" spans="1:6" s="9" customFormat="1" ht="12.75" hidden="1" customHeight="1" x14ac:dyDescent="0.2">
      <c r="A15" s="11" t="s">
        <v>105</v>
      </c>
      <c r="B15" s="187" t="s">
        <v>175</v>
      </c>
      <c r="C15" s="188"/>
      <c r="D15" s="64">
        <f>'Вед стр 21г'!G575</f>
        <v>0</v>
      </c>
      <c r="E15" s="64">
        <f>'Вед стр 21г'!H575</f>
        <v>0</v>
      </c>
      <c r="F15" s="78" t="e">
        <f t="shared" si="1"/>
        <v>#DIV/0!</v>
      </c>
    </row>
    <row r="16" spans="1:6" s="8" customFormat="1" ht="16.5" hidden="1" customHeight="1" x14ac:dyDescent="0.2">
      <c r="A16" s="14" t="s">
        <v>174</v>
      </c>
      <c r="B16" s="13" t="s">
        <v>23</v>
      </c>
      <c r="C16" s="12" t="s">
        <v>6</v>
      </c>
      <c r="D16" s="65">
        <f>'Вед стр 21г'!G576</f>
        <v>0</v>
      </c>
      <c r="E16" s="65">
        <f>'Вед стр 21г'!H576</f>
        <v>0</v>
      </c>
      <c r="F16" s="77" t="e">
        <f t="shared" si="1"/>
        <v>#DIV/0!</v>
      </c>
    </row>
    <row r="17" spans="1:6" s="9" customFormat="1" ht="25.5" x14ac:dyDescent="0.2">
      <c r="A17" s="11" t="s">
        <v>104</v>
      </c>
      <c r="B17" s="187" t="s">
        <v>173</v>
      </c>
      <c r="C17" s="189"/>
      <c r="D17" s="64">
        <f>'Вед стр 21г'!G577</f>
        <v>5400.3825000000006</v>
      </c>
      <c r="E17" s="64">
        <f>'Вед стр 21г'!H577</f>
        <v>5381.6315300000006</v>
      </c>
      <c r="F17" s="78">
        <f t="shared" si="1"/>
        <v>99.65278440925249</v>
      </c>
    </row>
    <row r="18" spans="1:6" s="8" customFormat="1" ht="12.75" hidden="1" x14ac:dyDescent="0.2">
      <c r="A18" s="14" t="s">
        <v>172</v>
      </c>
      <c r="B18" s="13" t="s">
        <v>6</v>
      </c>
      <c r="C18" s="12" t="s">
        <v>23</v>
      </c>
      <c r="D18" s="65">
        <f>'Вед стр 21г'!G578</f>
        <v>0</v>
      </c>
      <c r="E18" s="65">
        <f>'Вед стр 21г'!H578</f>
        <v>0</v>
      </c>
      <c r="F18" s="77" t="e">
        <f t="shared" si="1"/>
        <v>#DIV/0!</v>
      </c>
    </row>
    <row r="19" spans="1:6" s="8" customFormat="1" ht="38.25" customHeight="1" x14ac:dyDescent="0.2">
      <c r="A19" s="14" t="s">
        <v>171</v>
      </c>
      <c r="B19" s="13" t="s">
        <v>6</v>
      </c>
      <c r="C19" s="12" t="s">
        <v>59</v>
      </c>
      <c r="D19" s="65">
        <f>'Вед стр 21г'!G579</f>
        <v>5385.4250000000002</v>
      </c>
      <c r="E19" s="65">
        <f>'Вед стр 21г'!H579</f>
        <v>5366.6740300000001</v>
      </c>
      <c r="F19" s="77">
        <f t="shared" si="1"/>
        <v>99.65182005134227</v>
      </c>
    </row>
    <row r="20" spans="1:6" s="47" customFormat="1" ht="12.75" hidden="1" customHeight="1" x14ac:dyDescent="0.2">
      <c r="A20" s="42" t="s">
        <v>335</v>
      </c>
      <c r="B20" s="45" t="s">
        <v>6</v>
      </c>
      <c r="C20" s="46" t="s">
        <v>47</v>
      </c>
      <c r="D20" s="65">
        <f>'Вед стр 21г'!G580</f>
        <v>0</v>
      </c>
      <c r="E20" s="65">
        <f>'Вед стр 21г'!H580</f>
        <v>0</v>
      </c>
      <c r="F20" s="77" t="e">
        <f t="shared" si="1"/>
        <v>#DIV/0!</v>
      </c>
    </row>
    <row r="21" spans="1:6" s="8" customFormat="1" ht="26.25" customHeight="1" x14ac:dyDescent="0.2">
      <c r="A21" s="14" t="s">
        <v>99</v>
      </c>
      <c r="B21" s="13" t="s">
        <v>6</v>
      </c>
      <c r="C21" s="12" t="s">
        <v>7</v>
      </c>
      <c r="D21" s="65">
        <f>'Вед стр 21г'!G581</f>
        <v>14.9575</v>
      </c>
      <c r="E21" s="65">
        <f>'Вед стр 21г'!H581</f>
        <v>14.9575</v>
      </c>
      <c r="F21" s="77">
        <f t="shared" si="1"/>
        <v>100</v>
      </c>
    </row>
    <row r="22" spans="1:6" s="9" customFormat="1" ht="12.75" x14ac:dyDescent="0.2">
      <c r="A22" s="11" t="s">
        <v>96</v>
      </c>
      <c r="B22" s="187" t="s">
        <v>170</v>
      </c>
      <c r="C22" s="189"/>
      <c r="D22" s="64">
        <f>'Вед стр 21г'!G582</f>
        <v>58491.338509999994</v>
      </c>
      <c r="E22" s="64">
        <f>'Вед стр 21г'!H582</f>
        <v>52087.784549999997</v>
      </c>
      <c r="F22" s="78">
        <f t="shared" si="1"/>
        <v>89.052132977081371</v>
      </c>
    </row>
    <row r="23" spans="1:6" s="8" customFormat="1" ht="12.75" hidden="1" customHeight="1" x14ac:dyDescent="0.2">
      <c r="A23" s="14" t="s">
        <v>169</v>
      </c>
      <c r="B23" s="13" t="s">
        <v>52</v>
      </c>
      <c r="C23" s="12" t="s">
        <v>12</v>
      </c>
      <c r="D23" s="65">
        <f>'Вед стр 21г'!G583</f>
        <v>0</v>
      </c>
      <c r="E23" s="65">
        <f>'Вед стр 21г'!H583</f>
        <v>0</v>
      </c>
      <c r="F23" s="77" t="e">
        <f t="shared" si="1"/>
        <v>#DIV/0!</v>
      </c>
    </row>
    <row r="24" spans="1:6" s="8" customFormat="1" ht="15.75" customHeight="1" x14ac:dyDescent="0.2">
      <c r="A24" s="14" t="s">
        <v>95</v>
      </c>
      <c r="B24" s="13" t="s">
        <v>52</v>
      </c>
      <c r="C24" s="12" t="s">
        <v>30</v>
      </c>
      <c r="D24" s="65">
        <f>'Вед стр 21г'!G584</f>
        <v>823.5</v>
      </c>
      <c r="E24" s="65">
        <f>'Вед стр 21г'!H584</f>
        <v>725.44440000000009</v>
      </c>
      <c r="F24" s="77">
        <f t="shared" si="1"/>
        <v>88.092823315118409</v>
      </c>
    </row>
    <row r="25" spans="1:6" s="8" customFormat="1" ht="15.75" customHeight="1" x14ac:dyDescent="0.2">
      <c r="A25" s="2" t="s">
        <v>353</v>
      </c>
      <c r="B25" s="13" t="s">
        <v>52</v>
      </c>
      <c r="C25" s="12" t="s">
        <v>46</v>
      </c>
      <c r="D25" s="65">
        <f>'Вед стр 21г'!G585</f>
        <v>2326.18453</v>
      </c>
      <c r="E25" s="65">
        <f>'Вед стр 21г'!H585</f>
        <v>1626.18453</v>
      </c>
      <c r="F25" s="77">
        <f t="shared" si="1"/>
        <v>69.907804347748808</v>
      </c>
    </row>
    <row r="26" spans="1:6" s="8" customFormat="1" ht="13.5" customHeight="1" x14ac:dyDescent="0.2">
      <c r="A26" s="14" t="s">
        <v>168</v>
      </c>
      <c r="B26" s="13" t="s">
        <v>52</v>
      </c>
      <c r="C26" s="12" t="s">
        <v>59</v>
      </c>
      <c r="D26" s="65">
        <f>'Вед стр 21г'!G586</f>
        <v>22431.733650000002</v>
      </c>
      <c r="E26" s="65">
        <f>'Вед стр 21г'!H586</f>
        <v>18617.486969999998</v>
      </c>
      <c r="F26" s="77">
        <f t="shared" si="1"/>
        <v>82.996201989942918</v>
      </c>
    </row>
    <row r="27" spans="1:6" s="8" customFormat="1" ht="18" customHeight="1" x14ac:dyDescent="0.2">
      <c r="A27" s="14" t="s">
        <v>167</v>
      </c>
      <c r="B27" s="13" t="s">
        <v>52</v>
      </c>
      <c r="C27" s="12" t="s">
        <v>24</v>
      </c>
      <c r="D27" s="65">
        <f>'Вед стр 21г'!G587</f>
        <v>32909.920329999994</v>
      </c>
      <c r="E27" s="65">
        <f>'Вед стр 21г'!H587</f>
        <v>31118.66865</v>
      </c>
      <c r="F27" s="77">
        <f t="shared" si="1"/>
        <v>94.55710721254124</v>
      </c>
    </row>
    <row r="28" spans="1:6" s="9" customFormat="1" ht="16.5" customHeight="1" x14ac:dyDescent="0.2">
      <c r="A28" s="11" t="s">
        <v>166</v>
      </c>
      <c r="B28" s="185" t="s">
        <v>165</v>
      </c>
      <c r="C28" s="186"/>
      <c r="D28" s="64">
        <f>'Вед стр 21г'!G588</f>
        <v>27875.651990000002</v>
      </c>
      <c r="E28" s="64">
        <f>'Вед стр 21г'!H588</f>
        <v>23575.307820000002</v>
      </c>
      <c r="F28" s="78">
        <f t="shared" si="1"/>
        <v>84.573117172137586</v>
      </c>
    </row>
    <row r="29" spans="1:6" s="8" customFormat="1" ht="12.75" x14ac:dyDescent="0.2">
      <c r="A29" s="14" t="s">
        <v>84</v>
      </c>
      <c r="B29" s="13" t="s">
        <v>30</v>
      </c>
      <c r="C29" s="12" t="s">
        <v>12</v>
      </c>
      <c r="D29" s="65">
        <f>'Вед стр 21г'!G589</f>
        <v>6699.2</v>
      </c>
      <c r="E29" s="65">
        <f>'Вед стр 21г'!H589</f>
        <v>5844.2</v>
      </c>
      <c r="F29" s="77">
        <f t="shared" si="1"/>
        <v>87.237282063529975</v>
      </c>
    </row>
    <row r="30" spans="1:6" s="8" customFormat="1" ht="12.75" x14ac:dyDescent="0.2">
      <c r="A30" s="14" t="s">
        <v>83</v>
      </c>
      <c r="B30" s="13" t="s">
        <v>30</v>
      </c>
      <c r="C30" s="12" t="s">
        <v>23</v>
      </c>
      <c r="D30" s="65">
        <f>'Вед стр 21г'!G590</f>
        <v>19660.522390000002</v>
      </c>
      <c r="E30" s="65">
        <f>'Вед стр 21г'!H590</f>
        <v>16771.90957</v>
      </c>
      <c r="F30" s="77">
        <f t="shared" si="1"/>
        <v>85.307547975076972</v>
      </c>
    </row>
    <row r="31" spans="1:6" s="8" customFormat="1" ht="12.75" x14ac:dyDescent="0.2">
      <c r="A31" s="14" t="s">
        <v>164</v>
      </c>
      <c r="B31" s="13" t="s">
        <v>30</v>
      </c>
      <c r="C31" s="12" t="s">
        <v>6</v>
      </c>
      <c r="D31" s="65">
        <f>'Вед стр 21г'!G591</f>
        <v>1515.9295999999999</v>
      </c>
      <c r="E31" s="65">
        <f>'Вед стр 21г'!H591</f>
        <v>959.19825000000003</v>
      </c>
      <c r="F31" s="77">
        <f t="shared" si="1"/>
        <v>63.274590719780136</v>
      </c>
    </row>
    <row r="32" spans="1:6" s="9" customFormat="1" ht="12.75" hidden="1" customHeight="1" x14ac:dyDescent="0.2">
      <c r="A32" s="11" t="s">
        <v>163</v>
      </c>
      <c r="B32" s="185" t="s">
        <v>162</v>
      </c>
      <c r="C32" s="186"/>
      <c r="D32" s="64">
        <f>'Вед стр 21г'!G592</f>
        <v>0</v>
      </c>
      <c r="E32" s="64">
        <f>'Вед стр 21г'!H592</f>
        <v>0</v>
      </c>
      <c r="F32" s="78" t="e">
        <f t="shared" si="1"/>
        <v>#DIV/0!</v>
      </c>
    </row>
    <row r="33" spans="1:6" s="8" customFormat="1" ht="25.5" hidden="1" customHeight="1" x14ac:dyDescent="0.2">
      <c r="A33" s="16" t="s">
        <v>161</v>
      </c>
      <c r="B33" s="13" t="s">
        <v>46</v>
      </c>
      <c r="C33" s="12" t="s">
        <v>30</v>
      </c>
      <c r="D33" s="65">
        <f>'Вед стр 21г'!G593</f>
        <v>0</v>
      </c>
      <c r="E33" s="65">
        <f>'Вед стр 21г'!H593</f>
        <v>0</v>
      </c>
      <c r="F33" s="77" t="e">
        <f t="shared" si="1"/>
        <v>#DIV/0!</v>
      </c>
    </row>
    <row r="34" spans="1:6" s="9" customFormat="1" ht="12.75" x14ac:dyDescent="0.2">
      <c r="A34" s="11" t="s">
        <v>160</v>
      </c>
      <c r="B34" s="185" t="s">
        <v>159</v>
      </c>
      <c r="C34" s="186"/>
      <c r="D34" s="64">
        <f>'Вед стр 21г'!G594</f>
        <v>528439.43171000003</v>
      </c>
      <c r="E34" s="64">
        <f>'Вед стр 21г'!H594</f>
        <v>525503.63780000003</v>
      </c>
      <c r="F34" s="78">
        <f t="shared" si="1"/>
        <v>99.444440794189049</v>
      </c>
    </row>
    <row r="35" spans="1:6" s="8" customFormat="1" ht="12.75" x14ac:dyDescent="0.2">
      <c r="A35" s="14" t="s">
        <v>77</v>
      </c>
      <c r="B35" s="13" t="s">
        <v>69</v>
      </c>
      <c r="C35" s="12" t="s">
        <v>12</v>
      </c>
      <c r="D35" s="65">
        <f>'Вед стр 21г'!G595</f>
        <v>99285.081839999999</v>
      </c>
      <c r="E35" s="65">
        <f>'Вед стр 21г'!H595</f>
        <v>98905.074840000001</v>
      </c>
      <c r="F35" s="77">
        <f t="shared" si="1"/>
        <v>99.617256698632346</v>
      </c>
    </row>
    <row r="36" spans="1:6" s="8" customFormat="1" ht="12.75" x14ac:dyDescent="0.2">
      <c r="A36" s="14" t="s">
        <v>76</v>
      </c>
      <c r="B36" s="13" t="s">
        <v>69</v>
      </c>
      <c r="C36" s="12" t="s">
        <v>23</v>
      </c>
      <c r="D36" s="65">
        <f>'Вед стр 21г'!G596</f>
        <v>357456.62796000001</v>
      </c>
      <c r="E36" s="65">
        <f>'Вед стр 21г'!H596</f>
        <v>355174.22696</v>
      </c>
      <c r="F36" s="77">
        <f t="shared" si="1"/>
        <v>99.361488689403899</v>
      </c>
    </row>
    <row r="37" spans="1:6" s="8" customFormat="1" ht="16.5" customHeight="1" x14ac:dyDescent="0.2">
      <c r="A37" s="2" t="s">
        <v>203</v>
      </c>
      <c r="B37" s="13" t="s">
        <v>69</v>
      </c>
      <c r="C37" s="12" t="s">
        <v>6</v>
      </c>
      <c r="D37" s="65">
        <f>'Вед стр 21г'!G597</f>
        <v>50552.561910000004</v>
      </c>
      <c r="E37" s="65">
        <f>'Вед стр 21г'!H597</f>
        <v>50288.413799999995</v>
      </c>
      <c r="F37" s="77">
        <f t="shared" si="1"/>
        <v>99.477478291861303</v>
      </c>
    </row>
    <row r="38" spans="1:6" s="8" customFormat="1" ht="25.5" hidden="1" customHeight="1" x14ac:dyDescent="0.2">
      <c r="A38" s="14" t="s">
        <v>158</v>
      </c>
      <c r="B38" s="13" t="s">
        <v>69</v>
      </c>
      <c r="C38" s="12" t="s">
        <v>30</v>
      </c>
      <c r="D38" s="65">
        <f>'Вед стр 21г'!G598</f>
        <v>0</v>
      </c>
      <c r="E38" s="65">
        <f>'Вед стр 21г'!H598</f>
        <v>0</v>
      </c>
      <c r="F38" s="77" t="e">
        <f t="shared" si="1"/>
        <v>#DIV/0!</v>
      </c>
    </row>
    <row r="39" spans="1:6" s="8" customFormat="1" ht="18" customHeight="1" x14ac:dyDescent="0.2">
      <c r="A39" s="14" t="s">
        <v>73</v>
      </c>
      <c r="B39" s="13" t="s">
        <v>69</v>
      </c>
      <c r="C39" s="12" t="s">
        <v>69</v>
      </c>
      <c r="D39" s="65">
        <f>'Вед стр 21г'!G599</f>
        <v>1354.3439999999998</v>
      </c>
      <c r="E39" s="65">
        <f>'Вед стр 21г'!H599</f>
        <v>1354.3371999999997</v>
      </c>
      <c r="F39" s="77">
        <f t="shared" si="1"/>
        <v>99.9994979119042</v>
      </c>
    </row>
    <row r="40" spans="1:6" s="8" customFormat="1" ht="16.5" customHeight="1" x14ac:dyDescent="0.2">
      <c r="A40" s="14" t="s">
        <v>72</v>
      </c>
      <c r="B40" s="13" t="s">
        <v>69</v>
      </c>
      <c r="C40" s="12" t="s">
        <v>59</v>
      </c>
      <c r="D40" s="65">
        <f>'Вед стр 21г'!G600</f>
        <v>19790.815999999999</v>
      </c>
      <c r="E40" s="65">
        <f>'Вед стр 21г'!H600</f>
        <v>19781.584999999999</v>
      </c>
      <c r="F40" s="77">
        <f t="shared" si="1"/>
        <v>99.953357153136082</v>
      </c>
    </row>
    <row r="41" spans="1:6" s="9" customFormat="1" ht="12.75" x14ac:dyDescent="0.2">
      <c r="A41" s="11" t="s">
        <v>157</v>
      </c>
      <c r="B41" s="185" t="s">
        <v>156</v>
      </c>
      <c r="C41" s="186"/>
      <c r="D41" s="64">
        <f>'Вед стр 21г'!G601</f>
        <v>60823.706259999999</v>
      </c>
      <c r="E41" s="64">
        <f>'Вед стр 21г'!H601</f>
        <v>60823.706259999999</v>
      </c>
      <c r="F41" s="78">
        <f t="shared" si="1"/>
        <v>100</v>
      </c>
    </row>
    <row r="42" spans="1:6" s="8" customFormat="1" ht="12.75" x14ac:dyDescent="0.2">
      <c r="A42" s="14" t="s">
        <v>67</v>
      </c>
      <c r="B42" s="13" t="s">
        <v>63</v>
      </c>
      <c r="C42" s="12" t="s">
        <v>12</v>
      </c>
      <c r="D42" s="65">
        <f>'Вед стр 21г'!G602</f>
        <v>49630.937559999998</v>
      </c>
      <c r="E42" s="65">
        <f>'Вед стр 21г'!H602</f>
        <v>49630.937559999998</v>
      </c>
      <c r="F42" s="77">
        <f t="shared" si="1"/>
        <v>100</v>
      </c>
    </row>
    <row r="43" spans="1:6" s="8" customFormat="1" ht="15.75" customHeight="1" x14ac:dyDescent="0.2">
      <c r="A43" s="14" t="s">
        <v>155</v>
      </c>
      <c r="B43" s="13" t="s">
        <v>63</v>
      </c>
      <c r="C43" s="12" t="s">
        <v>52</v>
      </c>
      <c r="D43" s="65">
        <f>'Вед стр 21г'!G603</f>
        <v>11192.768700000001</v>
      </c>
      <c r="E43" s="65">
        <f>'Вед стр 21г'!H603</f>
        <v>11192.768700000001</v>
      </c>
      <c r="F43" s="77">
        <f t="shared" si="1"/>
        <v>100</v>
      </c>
    </row>
    <row r="44" spans="1:6" s="9" customFormat="1" ht="12.75" hidden="1" customHeight="1" x14ac:dyDescent="0.2">
      <c r="A44" s="11" t="s">
        <v>154</v>
      </c>
      <c r="B44" s="185" t="s">
        <v>153</v>
      </c>
      <c r="C44" s="186"/>
      <c r="D44" s="64">
        <f>'Вед стр 21г'!G604</f>
        <v>0</v>
      </c>
      <c r="E44" s="64">
        <f>'Вед стр 21г'!H604</f>
        <v>0</v>
      </c>
      <c r="F44" s="78" t="e">
        <f t="shared" si="1"/>
        <v>#DIV/0!</v>
      </c>
    </row>
    <row r="45" spans="1:6" s="8" customFormat="1" ht="12.75" hidden="1" customHeight="1" x14ac:dyDescent="0.2">
      <c r="A45" s="14" t="s">
        <v>62</v>
      </c>
      <c r="B45" s="13" t="s">
        <v>59</v>
      </c>
      <c r="C45" s="12" t="s">
        <v>12</v>
      </c>
      <c r="D45" s="65">
        <f>'Вед стр 21г'!G605</f>
        <v>0</v>
      </c>
      <c r="E45" s="65">
        <f>'Вед стр 21г'!H605</f>
        <v>0</v>
      </c>
      <c r="F45" s="77" t="e">
        <f t="shared" si="1"/>
        <v>#DIV/0!</v>
      </c>
    </row>
    <row r="46" spans="1:6" s="8" customFormat="1" ht="12.75" hidden="1" customHeight="1" x14ac:dyDescent="0.2">
      <c r="A46" s="14" t="s">
        <v>152</v>
      </c>
      <c r="B46" s="13" t="s">
        <v>59</v>
      </c>
      <c r="C46" s="12" t="s">
        <v>23</v>
      </c>
      <c r="D46" s="65">
        <f>'Вед стр 21г'!G606</f>
        <v>0</v>
      </c>
      <c r="E46" s="65">
        <f>'Вед стр 21г'!H606</f>
        <v>0</v>
      </c>
      <c r="F46" s="77" t="e">
        <f t="shared" si="1"/>
        <v>#DIV/0!</v>
      </c>
    </row>
    <row r="47" spans="1:6" s="8" customFormat="1" ht="12.75" hidden="1" customHeight="1" x14ac:dyDescent="0.2">
      <c r="A47" s="14" t="s">
        <v>151</v>
      </c>
      <c r="B47" s="13" t="s">
        <v>59</v>
      </c>
      <c r="C47" s="12" t="s">
        <v>52</v>
      </c>
      <c r="D47" s="65">
        <f>'Вед стр 21г'!G607</f>
        <v>0</v>
      </c>
      <c r="E47" s="65">
        <f>'Вед стр 21г'!H607</f>
        <v>0</v>
      </c>
      <c r="F47" s="77" t="e">
        <f t="shared" si="1"/>
        <v>#DIV/0!</v>
      </c>
    </row>
    <row r="48" spans="1:6" s="8" customFormat="1" ht="18" hidden="1" customHeight="1" x14ac:dyDescent="0.2">
      <c r="A48" s="14" t="s">
        <v>60</v>
      </c>
      <c r="B48" s="13" t="s">
        <v>59</v>
      </c>
      <c r="C48" s="12" t="s">
        <v>59</v>
      </c>
      <c r="D48" s="65">
        <f>'Вед стр 21г'!G608</f>
        <v>0</v>
      </c>
      <c r="E48" s="65">
        <f>'Вед стр 21г'!H608</f>
        <v>0</v>
      </c>
      <c r="F48" s="77" t="e">
        <f t="shared" si="1"/>
        <v>#DIV/0!</v>
      </c>
    </row>
    <row r="49" spans="1:6" s="9" customFormat="1" ht="12.75" x14ac:dyDescent="0.2">
      <c r="A49" s="11" t="s">
        <v>58</v>
      </c>
      <c r="B49" s="185" t="s">
        <v>150</v>
      </c>
      <c r="C49" s="186"/>
      <c r="D49" s="64">
        <f>'Вед стр 21г'!G609</f>
        <v>6104.0526099999997</v>
      </c>
      <c r="E49" s="64">
        <f>'Вед стр 21г'!H609</f>
        <v>6097.5889299999999</v>
      </c>
      <c r="F49" s="78">
        <f t="shared" si="1"/>
        <v>99.894108383184459</v>
      </c>
    </row>
    <row r="50" spans="1:6" s="8" customFormat="1" ht="12.75" x14ac:dyDescent="0.2">
      <c r="A50" s="14" t="s">
        <v>57</v>
      </c>
      <c r="B50" s="13" t="s">
        <v>47</v>
      </c>
      <c r="C50" s="12" t="s">
        <v>12</v>
      </c>
      <c r="D50" s="65">
        <f>'Вед стр 21г'!G610</f>
        <v>996.06065999999998</v>
      </c>
      <c r="E50" s="65">
        <f>'Вед стр 21г'!H610</f>
        <v>996.06065999999998</v>
      </c>
      <c r="F50" s="77">
        <f t="shared" si="1"/>
        <v>100</v>
      </c>
    </row>
    <row r="51" spans="1:6" s="8" customFormat="1" ht="12.75" hidden="1" customHeight="1" x14ac:dyDescent="0.2">
      <c r="A51" s="14" t="s">
        <v>149</v>
      </c>
      <c r="B51" s="13" t="s">
        <v>47</v>
      </c>
      <c r="C51" s="12" t="s">
        <v>23</v>
      </c>
      <c r="D51" s="65">
        <f>'Вед стр 21г'!G611</f>
        <v>0</v>
      </c>
      <c r="E51" s="65">
        <f>'Вед стр 21г'!H611</f>
        <v>0</v>
      </c>
      <c r="F51" s="77" t="e">
        <f t="shared" si="1"/>
        <v>#DIV/0!</v>
      </c>
    </row>
    <row r="52" spans="1:6" s="8" customFormat="1" ht="12" customHeight="1" x14ac:dyDescent="0.2">
      <c r="A52" s="14" t="s">
        <v>148</v>
      </c>
      <c r="B52" s="13" t="s">
        <v>47</v>
      </c>
      <c r="C52" s="12" t="s">
        <v>6</v>
      </c>
      <c r="D52" s="65">
        <f>'Вед стр 21г'!G612</f>
        <v>2539.8919499999997</v>
      </c>
      <c r="E52" s="65">
        <f>'Вед стр 21г'!H612</f>
        <v>2539.8919499999997</v>
      </c>
      <c r="F52" s="77">
        <f t="shared" si="1"/>
        <v>100</v>
      </c>
    </row>
    <row r="53" spans="1:6" s="8" customFormat="1" ht="12.75" x14ac:dyDescent="0.2">
      <c r="A53" s="14" t="s">
        <v>147</v>
      </c>
      <c r="B53" s="13" t="s">
        <v>47</v>
      </c>
      <c r="C53" s="12" t="s">
        <v>52</v>
      </c>
      <c r="D53" s="65">
        <f>'Вед стр 21г'!G613</f>
        <v>2443.1</v>
      </c>
      <c r="E53" s="65">
        <f>'Вед стр 21г'!H613</f>
        <v>2436.6363199999996</v>
      </c>
      <c r="F53" s="77">
        <f t="shared" si="1"/>
        <v>99.735431214440666</v>
      </c>
    </row>
    <row r="54" spans="1:6" s="8" customFormat="1" ht="14.25" customHeight="1" x14ac:dyDescent="0.2">
      <c r="A54" s="14" t="s">
        <v>51</v>
      </c>
      <c r="B54" s="13" t="s">
        <v>47</v>
      </c>
      <c r="C54" s="12" t="s">
        <v>46</v>
      </c>
      <c r="D54" s="65">
        <f>'Вед стр 21г'!G614</f>
        <v>125</v>
      </c>
      <c r="E54" s="65">
        <f>'Вед стр 21г'!H614</f>
        <v>125</v>
      </c>
      <c r="F54" s="77">
        <f t="shared" si="1"/>
        <v>100</v>
      </c>
    </row>
    <row r="55" spans="1:6" s="9" customFormat="1" ht="12.75" x14ac:dyDescent="0.2">
      <c r="A55" s="11" t="s">
        <v>43</v>
      </c>
      <c r="B55" s="185" t="s">
        <v>146</v>
      </c>
      <c r="C55" s="186"/>
      <c r="D55" s="64">
        <f>'Вед стр 21г'!G615</f>
        <v>1574.84527</v>
      </c>
      <c r="E55" s="64">
        <f>'Вед стр 21г'!H615</f>
        <v>1574.84527</v>
      </c>
      <c r="F55" s="78">
        <f t="shared" si="1"/>
        <v>100</v>
      </c>
    </row>
    <row r="56" spans="1:6" s="8" customFormat="1" ht="12.75" x14ac:dyDescent="0.2">
      <c r="A56" s="14" t="s">
        <v>145</v>
      </c>
      <c r="B56" s="13" t="s">
        <v>31</v>
      </c>
      <c r="C56" s="12" t="s">
        <v>12</v>
      </c>
      <c r="D56" s="65">
        <f>'Вед стр 21г'!G616</f>
        <v>1574.84527</v>
      </c>
      <c r="E56" s="65">
        <f>'Вед стр 21г'!H616</f>
        <v>1574.84527</v>
      </c>
      <c r="F56" s="77">
        <f t="shared" si="1"/>
        <v>100</v>
      </c>
    </row>
    <row r="57" spans="1:6" s="8" customFormat="1" ht="25.5" hidden="1" customHeight="1" x14ac:dyDescent="0.2">
      <c r="A57" s="14" t="s">
        <v>35</v>
      </c>
      <c r="B57" s="15" t="s">
        <v>31</v>
      </c>
      <c r="C57" s="13" t="s">
        <v>30</v>
      </c>
      <c r="D57" s="64">
        <f>'Вед стр 21г'!G617</f>
        <v>0</v>
      </c>
      <c r="E57" s="64">
        <f>'Вед стр 21г'!H617</f>
        <v>0</v>
      </c>
      <c r="F57" s="78" t="e">
        <f t="shared" si="1"/>
        <v>#DIV/0!</v>
      </c>
    </row>
    <row r="58" spans="1:6" s="9" customFormat="1" ht="12" customHeight="1" x14ac:dyDescent="0.2">
      <c r="A58" s="11" t="s">
        <v>28</v>
      </c>
      <c r="B58" s="185" t="s">
        <v>144</v>
      </c>
      <c r="C58" s="186"/>
      <c r="D58" s="64">
        <f>'Вед стр 21г'!G618</f>
        <v>2355.56</v>
      </c>
      <c r="E58" s="64">
        <f>'Вед стр 21г'!H618</f>
        <v>2355.56</v>
      </c>
      <c r="F58" s="78">
        <f t="shared" si="1"/>
        <v>100</v>
      </c>
    </row>
    <row r="59" spans="1:6" s="8" customFormat="1" ht="16.5" customHeight="1" x14ac:dyDescent="0.2">
      <c r="A59" s="14" t="s">
        <v>27</v>
      </c>
      <c r="B59" s="13" t="s">
        <v>24</v>
      </c>
      <c r="C59" s="12" t="s">
        <v>23</v>
      </c>
      <c r="D59" s="65">
        <f>'Вед стр 21г'!G619</f>
        <v>2355.56</v>
      </c>
      <c r="E59" s="65">
        <f>'Вед стр 21г'!H619</f>
        <v>2355.56</v>
      </c>
      <c r="F59" s="77">
        <f t="shared" si="1"/>
        <v>100</v>
      </c>
    </row>
    <row r="60" spans="1:6" s="9" customFormat="1" ht="27" customHeight="1" x14ac:dyDescent="0.2">
      <c r="A60" s="11" t="s">
        <v>143</v>
      </c>
      <c r="B60" s="185" t="s">
        <v>142</v>
      </c>
      <c r="C60" s="186"/>
      <c r="D60" s="64">
        <f>'Вед стр 21г'!G620</f>
        <v>0.11099000000000001</v>
      </c>
      <c r="E60" s="64">
        <f>'Вед стр 21г'!H620</f>
        <v>0.11099000000000001</v>
      </c>
      <c r="F60" s="78">
        <f t="shared" si="1"/>
        <v>100</v>
      </c>
    </row>
    <row r="61" spans="1:6" s="8" customFormat="1" ht="27.75" customHeight="1" x14ac:dyDescent="0.2">
      <c r="A61" s="14" t="s">
        <v>21</v>
      </c>
      <c r="B61" s="13" t="s">
        <v>20</v>
      </c>
      <c r="C61" s="12" t="s">
        <v>12</v>
      </c>
      <c r="D61" s="65">
        <f>'Вед стр 21г'!G621</f>
        <v>0.11099000000000001</v>
      </c>
      <c r="E61" s="65">
        <f>'Вед стр 21г'!H621</f>
        <v>0.11099000000000001</v>
      </c>
      <c r="F61" s="77">
        <f t="shared" si="1"/>
        <v>100</v>
      </c>
    </row>
    <row r="62" spans="1:6" s="9" customFormat="1" ht="26.25" customHeight="1" x14ac:dyDescent="0.2">
      <c r="A62" s="11" t="s">
        <v>141</v>
      </c>
      <c r="B62" s="185" t="s">
        <v>140</v>
      </c>
      <c r="C62" s="186"/>
      <c r="D62" s="64">
        <f>'Вед стр 21г'!G622</f>
        <v>48868.630420000001</v>
      </c>
      <c r="E62" s="64">
        <f>'Вед стр 21г'!H622</f>
        <v>48868.630420000001</v>
      </c>
      <c r="F62" s="78">
        <f t="shared" si="1"/>
        <v>100</v>
      </c>
    </row>
    <row r="63" spans="1:6" s="8" customFormat="1" ht="29.25" customHeight="1" x14ac:dyDescent="0.2">
      <c r="A63" s="14" t="s">
        <v>139</v>
      </c>
      <c r="B63" s="13" t="s">
        <v>7</v>
      </c>
      <c r="C63" s="12" t="s">
        <v>12</v>
      </c>
      <c r="D63" s="65">
        <f>'Вед стр 21г'!G623</f>
        <v>25893.9</v>
      </c>
      <c r="E63" s="65">
        <f>'Вед стр 21г'!H623</f>
        <v>25893.9</v>
      </c>
      <c r="F63" s="77">
        <f t="shared" si="1"/>
        <v>100</v>
      </c>
    </row>
    <row r="64" spans="1:6" s="8" customFormat="1" ht="26.25" customHeight="1" x14ac:dyDescent="0.2">
      <c r="A64" s="14" t="s">
        <v>138</v>
      </c>
      <c r="B64" s="13" t="s">
        <v>7</v>
      </c>
      <c r="C64" s="12" t="s">
        <v>6</v>
      </c>
      <c r="D64" s="65">
        <f>'Вед стр 21г'!G624</f>
        <v>22974.73042</v>
      </c>
      <c r="E64" s="65">
        <f>'Вед стр 21г'!H624</f>
        <v>22974.73042</v>
      </c>
      <c r="F64" s="77">
        <f t="shared" si="1"/>
        <v>100</v>
      </c>
    </row>
    <row r="65" spans="1:6" s="8" customFormat="1" ht="26.25" hidden="1" customHeight="1" x14ac:dyDescent="0.2">
      <c r="A65" s="34" t="s">
        <v>195</v>
      </c>
      <c r="B65" s="56" t="s">
        <v>196</v>
      </c>
      <c r="C65" s="10" t="s">
        <v>196</v>
      </c>
      <c r="D65" s="64">
        <f>'Вед стр 21г'!G625</f>
        <v>0</v>
      </c>
      <c r="E65" s="64">
        <f>'Вед стр 21г'!H625</f>
        <v>0</v>
      </c>
      <c r="F65" s="78" t="e">
        <f t="shared" si="1"/>
        <v>#DIV/0!</v>
      </c>
    </row>
    <row r="66" spans="1:6" s="9" customFormat="1" ht="12.75" x14ac:dyDescent="0.2">
      <c r="A66" s="11" t="s">
        <v>137</v>
      </c>
      <c r="B66" s="35"/>
      <c r="C66" s="10"/>
      <c r="D66" s="64">
        <f>'Вед стр 21г'!G626</f>
        <v>771023.35565000004</v>
      </c>
      <c r="E66" s="64">
        <f>'Вед стр 21г'!H626</f>
        <v>757290.51688000001</v>
      </c>
      <c r="F66" s="78">
        <f t="shared" si="1"/>
        <v>98.218881611125425</v>
      </c>
    </row>
  </sheetData>
  <mergeCells count="19">
    <mergeCell ref="D2:F2"/>
    <mergeCell ref="E4:F4"/>
    <mergeCell ref="B5:C5"/>
    <mergeCell ref="D1:F1"/>
    <mergeCell ref="A3:E3"/>
    <mergeCell ref="B34:C34"/>
    <mergeCell ref="B6:C6"/>
    <mergeCell ref="B15:C15"/>
    <mergeCell ref="B17:C17"/>
    <mergeCell ref="B22:C22"/>
    <mergeCell ref="B28:C28"/>
    <mergeCell ref="B32:C32"/>
    <mergeCell ref="B62:C62"/>
    <mergeCell ref="B41:C41"/>
    <mergeCell ref="B44:C44"/>
    <mergeCell ref="B49:C49"/>
    <mergeCell ref="B55:C55"/>
    <mergeCell ref="B58:C58"/>
    <mergeCell ref="B60:C60"/>
  </mergeCells>
  <pageMargins left="0.78740157480314965" right="0" top="0" bottom="0" header="0" footer="0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5"/>
  <sheetViews>
    <sheetView tabSelected="1" view="pageBreakPreview" zoomScaleNormal="100" zoomScaleSheetLayoutView="100" workbookViewId="0">
      <selection activeCell="F680" sqref="F680"/>
    </sheetView>
  </sheetViews>
  <sheetFormatPr defaultRowHeight="15" x14ac:dyDescent="0.25"/>
  <cols>
    <col min="1" max="1" width="49.5703125" style="19" customWidth="1"/>
    <col min="2" max="3" width="6.28515625" style="18" customWidth="1"/>
    <col min="4" max="4" width="8.140625" style="18" customWidth="1"/>
    <col min="5" max="5" width="13.7109375" style="18" customWidth="1"/>
    <col min="6" max="6" width="7.5703125" style="18" customWidth="1"/>
    <col min="7" max="7" width="14.7109375" style="67" customWidth="1"/>
    <col min="8" max="8" width="14.5703125" style="68" customWidth="1"/>
    <col min="9" max="9" width="15.85546875" style="68" customWidth="1"/>
    <col min="10" max="11" width="13.140625" style="18" customWidth="1"/>
    <col min="12" max="12" width="12.5703125" style="18" customWidth="1"/>
    <col min="13" max="16384" width="9.140625" style="18"/>
  </cols>
  <sheetData>
    <row r="1" spans="1:9" x14ac:dyDescent="0.25">
      <c r="B1" s="29"/>
      <c r="C1" s="29"/>
      <c r="D1" s="29"/>
      <c r="E1" s="30"/>
      <c r="F1" s="30"/>
      <c r="G1" s="171" t="s">
        <v>563</v>
      </c>
      <c r="H1" s="204"/>
      <c r="I1" s="204"/>
    </row>
    <row r="2" spans="1:9" s="29" customFormat="1" ht="30.75" customHeight="1" x14ac:dyDescent="0.25">
      <c r="A2" s="32"/>
      <c r="E2" s="31"/>
      <c r="F2" s="33"/>
      <c r="G2" s="208" t="s">
        <v>561</v>
      </c>
      <c r="H2" s="204"/>
      <c r="I2" s="204"/>
    </row>
    <row r="3" spans="1:9" s="29" customFormat="1" x14ac:dyDescent="0.25">
      <c r="A3" s="206" t="s">
        <v>564</v>
      </c>
      <c r="B3" s="207"/>
      <c r="C3" s="207"/>
      <c r="D3" s="207"/>
      <c r="E3" s="207"/>
      <c r="F3" s="207"/>
      <c r="G3" s="207"/>
      <c r="H3" s="207"/>
      <c r="I3" s="207"/>
    </row>
    <row r="4" spans="1:9" x14ac:dyDescent="0.2">
      <c r="G4" s="66"/>
      <c r="H4" s="66"/>
      <c r="I4" s="72" t="s">
        <v>136</v>
      </c>
    </row>
    <row r="5" spans="1:9" s="25" customFormat="1" ht="12.75" customHeight="1" x14ac:dyDescent="0.2">
      <c r="A5" s="205" t="s">
        <v>194</v>
      </c>
      <c r="B5" s="201" t="s">
        <v>193</v>
      </c>
      <c r="C5" s="202"/>
      <c r="D5" s="202"/>
      <c r="E5" s="202"/>
      <c r="F5" s="202"/>
      <c r="G5" s="199" t="s">
        <v>913</v>
      </c>
      <c r="H5" s="199" t="s">
        <v>558</v>
      </c>
      <c r="I5" s="199" t="s">
        <v>908</v>
      </c>
    </row>
    <row r="6" spans="1:9" s="25" customFormat="1" ht="13.5" customHeight="1" x14ac:dyDescent="0.2">
      <c r="A6" s="205"/>
      <c r="B6" s="202"/>
      <c r="C6" s="202"/>
      <c r="D6" s="202"/>
      <c r="E6" s="202"/>
      <c r="F6" s="202"/>
      <c r="G6" s="200"/>
      <c r="H6" s="200"/>
      <c r="I6" s="200"/>
    </row>
    <row r="7" spans="1:9" s="25" customFormat="1" ht="25.5" x14ac:dyDescent="0.2">
      <c r="A7" s="205"/>
      <c r="B7" s="70" t="s">
        <v>192</v>
      </c>
      <c r="C7" s="70" t="s">
        <v>135</v>
      </c>
      <c r="D7" s="70" t="s">
        <v>134</v>
      </c>
      <c r="E7" s="70" t="s">
        <v>133</v>
      </c>
      <c r="F7" s="70" t="s">
        <v>191</v>
      </c>
      <c r="G7" s="200"/>
      <c r="H7" s="200"/>
      <c r="I7" s="200"/>
    </row>
    <row r="8" spans="1:9" s="26" customFormat="1" ht="11.25" x14ac:dyDescent="0.25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7">
        <f>F8+1</f>
        <v>7</v>
      </c>
      <c r="H8" s="27">
        <v>8</v>
      </c>
      <c r="I8" s="27">
        <v>9</v>
      </c>
    </row>
    <row r="9" spans="1:9" s="25" customFormat="1" ht="24" x14ac:dyDescent="0.2">
      <c r="A9" s="34" t="s">
        <v>205</v>
      </c>
      <c r="B9" s="3" t="s">
        <v>189</v>
      </c>
      <c r="C9" s="1"/>
      <c r="D9" s="1"/>
      <c r="E9" s="1"/>
      <c r="F9" s="1"/>
      <c r="G9" s="62">
        <f>G10+G135</f>
        <v>508682.44779999997</v>
      </c>
      <c r="H9" s="62">
        <f>H10+H135</f>
        <v>506222.59022000001</v>
      </c>
      <c r="I9" s="62">
        <f>H9/G9*100</f>
        <v>99.516425701213279</v>
      </c>
    </row>
    <row r="10" spans="1:9" ht="12.75" x14ac:dyDescent="0.2">
      <c r="A10" s="2" t="s">
        <v>78</v>
      </c>
      <c r="B10" s="1" t="s">
        <v>189</v>
      </c>
      <c r="C10" s="1" t="s">
        <v>69</v>
      </c>
      <c r="D10" s="1"/>
      <c r="E10" s="1"/>
      <c r="F10" s="1"/>
      <c r="G10" s="63">
        <f>G39+G101+G110+G11+G76</f>
        <v>506239.34779999999</v>
      </c>
      <c r="H10" s="63">
        <f>H39+H101+H110+H11+H76</f>
        <v>503785.95390000002</v>
      </c>
      <c r="I10" s="63">
        <f>H10/G10*100</f>
        <v>99.515368785405187</v>
      </c>
    </row>
    <row r="11" spans="1:9" ht="12.75" x14ac:dyDescent="0.2">
      <c r="A11" s="2" t="s">
        <v>77</v>
      </c>
      <c r="B11" s="1" t="s">
        <v>189</v>
      </c>
      <c r="C11" s="1" t="s">
        <v>69</v>
      </c>
      <c r="D11" s="1" t="s">
        <v>12</v>
      </c>
      <c r="E11" s="1"/>
      <c r="F11" s="1"/>
      <c r="G11" s="63">
        <f t="shared" ref="G11:H12" si="0">G12</f>
        <v>99285.081839999999</v>
      </c>
      <c r="H11" s="63">
        <f t="shared" si="0"/>
        <v>98905.074840000001</v>
      </c>
      <c r="I11" s="63">
        <f t="shared" ref="I11:I74" si="1">H11/G11*100</f>
        <v>99.617256698632346</v>
      </c>
    </row>
    <row r="12" spans="1:9" ht="24" x14ac:dyDescent="0.2">
      <c r="A12" s="2" t="s">
        <v>393</v>
      </c>
      <c r="B12" s="1" t="s">
        <v>189</v>
      </c>
      <c r="C12" s="1" t="s">
        <v>69</v>
      </c>
      <c r="D12" s="1" t="s">
        <v>12</v>
      </c>
      <c r="E12" s="1" t="s">
        <v>324</v>
      </c>
      <c r="F12" s="1"/>
      <c r="G12" s="63">
        <f t="shared" si="0"/>
        <v>99285.081839999999</v>
      </c>
      <c r="H12" s="63">
        <f t="shared" si="0"/>
        <v>98905.074840000001</v>
      </c>
      <c r="I12" s="63">
        <f t="shared" si="1"/>
        <v>99.617256698632346</v>
      </c>
    </row>
    <row r="13" spans="1:9" ht="36" x14ac:dyDescent="0.2">
      <c r="A13" s="2" t="s">
        <v>258</v>
      </c>
      <c r="B13" s="1" t="s">
        <v>189</v>
      </c>
      <c r="C13" s="1" t="s">
        <v>69</v>
      </c>
      <c r="D13" s="1" t="s">
        <v>12</v>
      </c>
      <c r="E13" s="1" t="s">
        <v>303</v>
      </c>
      <c r="F13" s="1"/>
      <c r="G13" s="63">
        <f>G14+G33+G36</f>
        <v>99285.081839999999</v>
      </c>
      <c r="H13" s="63">
        <f t="shared" ref="H13" si="2">H14+H33+H36</f>
        <v>98905.074840000001</v>
      </c>
      <c r="I13" s="63">
        <f t="shared" si="1"/>
        <v>99.617256698632346</v>
      </c>
    </row>
    <row r="14" spans="1:9" ht="48" x14ac:dyDescent="0.2">
      <c r="A14" s="2" t="s">
        <v>259</v>
      </c>
      <c r="B14" s="1" t="s">
        <v>189</v>
      </c>
      <c r="C14" s="1" t="s">
        <v>69</v>
      </c>
      <c r="D14" s="1" t="s">
        <v>12</v>
      </c>
      <c r="E14" s="1" t="s">
        <v>302</v>
      </c>
      <c r="F14" s="1"/>
      <c r="G14" s="63">
        <f>G15+G23+G21+G17+G31+G29+G27+G19+G25</f>
        <v>96969.930840000001</v>
      </c>
      <c r="H14" s="63">
        <f t="shared" ref="H14" si="3">H15+H23+H21+H17+H31+H29+H27+H19+H25</f>
        <v>96969.930840000001</v>
      </c>
      <c r="I14" s="63">
        <f t="shared" si="1"/>
        <v>100</v>
      </c>
    </row>
    <row r="15" spans="1:9" ht="36" x14ac:dyDescent="0.2">
      <c r="A15" s="2" t="s">
        <v>190</v>
      </c>
      <c r="B15" s="1" t="s">
        <v>189</v>
      </c>
      <c r="C15" s="1" t="s">
        <v>69</v>
      </c>
      <c r="D15" s="1" t="s">
        <v>12</v>
      </c>
      <c r="E15" s="1" t="s">
        <v>304</v>
      </c>
      <c r="F15" s="1"/>
      <c r="G15" s="63">
        <f t="shared" ref="G15:H15" si="4">G16</f>
        <v>10798.591039999999</v>
      </c>
      <c r="H15" s="63">
        <f t="shared" si="4"/>
        <v>10798.591039999999</v>
      </c>
      <c r="I15" s="63">
        <f t="shared" si="1"/>
        <v>100</v>
      </c>
    </row>
    <row r="16" spans="1:9" ht="24" x14ac:dyDescent="0.2">
      <c r="A16" s="2" t="s">
        <v>25</v>
      </c>
      <c r="B16" s="1" t="s">
        <v>189</v>
      </c>
      <c r="C16" s="1" t="s">
        <v>69</v>
      </c>
      <c r="D16" s="1" t="s">
        <v>12</v>
      </c>
      <c r="E16" s="1" t="s">
        <v>304</v>
      </c>
      <c r="F16" s="1" t="s">
        <v>22</v>
      </c>
      <c r="G16" s="63">
        <v>10798.591039999999</v>
      </c>
      <c r="H16" s="63">
        <f>3111.882+624.122+4558.34204+2504.245</f>
        <v>10798.591039999999</v>
      </c>
      <c r="I16" s="63">
        <f t="shared" si="1"/>
        <v>100</v>
      </c>
    </row>
    <row r="17" spans="1:9" ht="36" x14ac:dyDescent="0.2">
      <c r="A17" s="2" t="s">
        <v>260</v>
      </c>
      <c r="B17" s="1" t="s">
        <v>189</v>
      </c>
      <c r="C17" s="1" t="s">
        <v>69</v>
      </c>
      <c r="D17" s="1" t="s">
        <v>12</v>
      </c>
      <c r="E17" s="1" t="s">
        <v>305</v>
      </c>
      <c r="F17" s="1"/>
      <c r="G17" s="63">
        <f t="shared" ref="G17:H17" si="5">G18</f>
        <v>11942.990000000002</v>
      </c>
      <c r="H17" s="63">
        <f t="shared" si="5"/>
        <v>11942.990000000002</v>
      </c>
      <c r="I17" s="63">
        <f t="shared" si="1"/>
        <v>100</v>
      </c>
    </row>
    <row r="18" spans="1:9" ht="25.5" customHeight="1" x14ac:dyDescent="0.2">
      <c r="A18" s="2" t="s">
        <v>25</v>
      </c>
      <c r="B18" s="1" t="s">
        <v>189</v>
      </c>
      <c r="C18" s="1" t="s">
        <v>69</v>
      </c>
      <c r="D18" s="1" t="s">
        <v>12</v>
      </c>
      <c r="E18" s="1" t="s">
        <v>305</v>
      </c>
      <c r="F18" s="1" t="s">
        <v>22</v>
      </c>
      <c r="G18" s="63">
        <f>9008.915+2934.075</f>
        <v>11942.990000000002</v>
      </c>
      <c r="H18" s="63">
        <f>9008.915+2934.075</f>
        <v>11942.990000000002</v>
      </c>
      <c r="I18" s="63">
        <f t="shared" si="1"/>
        <v>100</v>
      </c>
    </row>
    <row r="19" spans="1:9" ht="25.5" customHeight="1" x14ac:dyDescent="0.2">
      <c r="A19" s="5" t="s">
        <v>459</v>
      </c>
      <c r="B19" s="1" t="s">
        <v>189</v>
      </c>
      <c r="C19" s="1" t="s">
        <v>69</v>
      </c>
      <c r="D19" s="1" t="s">
        <v>12</v>
      </c>
      <c r="E19" s="1" t="s">
        <v>462</v>
      </c>
      <c r="F19" s="1"/>
      <c r="G19" s="63">
        <f t="shared" ref="G19:H19" si="6">G20</f>
        <v>30.849799999999998</v>
      </c>
      <c r="H19" s="63">
        <f t="shared" si="6"/>
        <v>30.849799999999998</v>
      </c>
      <c r="I19" s="63">
        <f t="shared" si="1"/>
        <v>100</v>
      </c>
    </row>
    <row r="20" spans="1:9" ht="25.5" customHeight="1" x14ac:dyDescent="0.2">
      <c r="A20" s="2" t="s">
        <v>25</v>
      </c>
      <c r="B20" s="1" t="s">
        <v>189</v>
      </c>
      <c r="C20" s="1" t="s">
        <v>69</v>
      </c>
      <c r="D20" s="1" t="s">
        <v>12</v>
      </c>
      <c r="E20" s="1" t="s">
        <v>462</v>
      </c>
      <c r="F20" s="1" t="s">
        <v>22</v>
      </c>
      <c r="G20" s="63">
        <v>30.849799999999998</v>
      </c>
      <c r="H20" s="63">
        <v>30.849799999999998</v>
      </c>
      <c r="I20" s="63">
        <f t="shared" si="1"/>
        <v>100</v>
      </c>
    </row>
    <row r="21" spans="1:9" ht="27.75" customHeight="1" x14ac:dyDescent="0.2">
      <c r="A21" s="5" t="s">
        <v>75</v>
      </c>
      <c r="B21" s="1" t="s">
        <v>189</v>
      </c>
      <c r="C21" s="1" t="s">
        <v>69</v>
      </c>
      <c r="D21" s="1" t="s">
        <v>12</v>
      </c>
      <c r="E21" s="1" t="s">
        <v>306</v>
      </c>
      <c r="F21" s="1"/>
      <c r="G21" s="63">
        <f t="shared" ref="G21:H21" si="7">G22</f>
        <v>88</v>
      </c>
      <c r="H21" s="63">
        <f t="shared" si="7"/>
        <v>88</v>
      </c>
      <c r="I21" s="63">
        <f t="shared" si="1"/>
        <v>100</v>
      </c>
    </row>
    <row r="22" spans="1:9" ht="24" x14ac:dyDescent="0.2">
      <c r="A22" s="2" t="s">
        <v>25</v>
      </c>
      <c r="B22" s="1" t="s">
        <v>189</v>
      </c>
      <c r="C22" s="1" t="s">
        <v>69</v>
      </c>
      <c r="D22" s="1" t="s">
        <v>12</v>
      </c>
      <c r="E22" s="1" t="s">
        <v>306</v>
      </c>
      <c r="F22" s="1" t="s">
        <v>22</v>
      </c>
      <c r="G22" s="63">
        <v>88</v>
      </c>
      <c r="H22" s="63">
        <v>88</v>
      </c>
      <c r="I22" s="63">
        <f t="shared" si="1"/>
        <v>100</v>
      </c>
    </row>
    <row r="23" spans="1:9" ht="31.5" customHeight="1" x14ac:dyDescent="0.2">
      <c r="A23" s="5" t="s">
        <v>250</v>
      </c>
      <c r="B23" s="1" t="s">
        <v>189</v>
      </c>
      <c r="C23" s="1" t="s">
        <v>69</v>
      </c>
      <c r="D23" s="1" t="s">
        <v>12</v>
      </c>
      <c r="E23" s="1" t="s">
        <v>307</v>
      </c>
      <c r="F23" s="1"/>
      <c r="G23" s="63">
        <f t="shared" ref="G23:H23" si="8">G24</f>
        <v>57748.82</v>
      </c>
      <c r="H23" s="63">
        <f t="shared" si="8"/>
        <v>57748.82</v>
      </c>
      <c r="I23" s="63">
        <f t="shared" si="1"/>
        <v>100</v>
      </c>
    </row>
    <row r="24" spans="1:9" s="55" customFormat="1" ht="24" x14ac:dyDescent="0.2">
      <c r="A24" s="53" t="s">
        <v>25</v>
      </c>
      <c r="B24" s="54" t="s">
        <v>189</v>
      </c>
      <c r="C24" s="54" t="s">
        <v>69</v>
      </c>
      <c r="D24" s="54" t="s">
        <v>12</v>
      </c>
      <c r="E24" s="54" t="s">
        <v>307</v>
      </c>
      <c r="F24" s="54" t="s">
        <v>22</v>
      </c>
      <c r="G24" s="81">
        <v>57748.82</v>
      </c>
      <c r="H24" s="81">
        <f>38144.98678+19603.83322</f>
        <v>57748.82</v>
      </c>
      <c r="I24" s="63">
        <f t="shared" si="1"/>
        <v>100</v>
      </c>
    </row>
    <row r="25" spans="1:9" ht="24" x14ac:dyDescent="0.2">
      <c r="A25" s="2" t="s">
        <v>555</v>
      </c>
      <c r="B25" s="1" t="s">
        <v>189</v>
      </c>
      <c r="C25" s="1" t="s">
        <v>69</v>
      </c>
      <c r="D25" s="1" t="s">
        <v>12</v>
      </c>
      <c r="E25" s="1" t="s">
        <v>554</v>
      </c>
      <c r="F25" s="1"/>
      <c r="G25" s="82">
        <f>G26</f>
        <v>210.2</v>
      </c>
      <c r="H25" s="82">
        <f t="shared" ref="H25" si="9">H26</f>
        <v>210.2</v>
      </c>
      <c r="I25" s="63">
        <f t="shared" si="1"/>
        <v>100</v>
      </c>
    </row>
    <row r="26" spans="1:9" ht="24" x14ac:dyDescent="0.2">
      <c r="A26" s="2" t="s">
        <v>25</v>
      </c>
      <c r="B26" s="1" t="s">
        <v>189</v>
      </c>
      <c r="C26" s="1" t="s">
        <v>69</v>
      </c>
      <c r="D26" s="1" t="s">
        <v>12</v>
      </c>
      <c r="E26" s="1" t="s">
        <v>554</v>
      </c>
      <c r="F26" s="1" t="s">
        <v>22</v>
      </c>
      <c r="G26" s="82">
        <v>210.2</v>
      </c>
      <c r="H26" s="82">
        <f>210.2</f>
        <v>210.2</v>
      </c>
      <c r="I26" s="63">
        <f t="shared" si="1"/>
        <v>100</v>
      </c>
    </row>
    <row r="27" spans="1:9" ht="24.75" customHeight="1" x14ac:dyDescent="0.2">
      <c r="A27" s="2" t="s">
        <v>200</v>
      </c>
      <c r="B27" s="1" t="s">
        <v>189</v>
      </c>
      <c r="C27" s="1" t="s">
        <v>69</v>
      </c>
      <c r="D27" s="1" t="s">
        <v>12</v>
      </c>
      <c r="E27" s="1" t="s">
        <v>308</v>
      </c>
      <c r="F27" s="1"/>
      <c r="G27" s="63">
        <f>G28</f>
        <v>93.7</v>
      </c>
      <c r="H27" s="63">
        <f t="shared" ref="H27" si="10">H28</f>
        <v>93.7</v>
      </c>
      <c r="I27" s="63">
        <f t="shared" si="1"/>
        <v>100</v>
      </c>
    </row>
    <row r="28" spans="1:9" ht="24" x14ac:dyDescent="0.2">
      <c r="A28" s="2" t="s">
        <v>25</v>
      </c>
      <c r="B28" s="1" t="s">
        <v>189</v>
      </c>
      <c r="C28" s="1" t="s">
        <v>69</v>
      </c>
      <c r="D28" s="1" t="s">
        <v>12</v>
      </c>
      <c r="E28" s="1" t="s">
        <v>308</v>
      </c>
      <c r="F28" s="1" t="s">
        <v>22</v>
      </c>
      <c r="G28" s="63">
        <v>93.7</v>
      </c>
      <c r="H28" s="63">
        <v>93.7</v>
      </c>
      <c r="I28" s="63">
        <f t="shared" si="1"/>
        <v>100</v>
      </c>
    </row>
    <row r="29" spans="1:9" ht="36" x14ac:dyDescent="0.2">
      <c r="A29" s="2" t="s">
        <v>455</v>
      </c>
      <c r="B29" s="1" t="s">
        <v>189</v>
      </c>
      <c r="C29" s="1" t="s">
        <v>69</v>
      </c>
      <c r="D29" s="1" t="s">
        <v>12</v>
      </c>
      <c r="E29" s="1" t="s">
        <v>456</v>
      </c>
      <c r="F29" s="1"/>
      <c r="G29" s="82">
        <f>G30</f>
        <v>578.37</v>
      </c>
      <c r="H29" s="82">
        <f>H30</f>
        <v>578.36999999999989</v>
      </c>
      <c r="I29" s="63">
        <f t="shared" si="1"/>
        <v>99.999999999999972</v>
      </c>
    </row>
    <row r="30" spans="1:9" ht="24" x14ac:dyDescent="0.2">
      <c r="A30" s="2" t="s">
        <v>25</v>
      </c>
      <c r="B30" s="1" t="s">
        <v>189</v>
      </c>
      <c r="C30" s="1" t="s">
        <v>69</v>
      </c>
      <c r="D30" s="1" t="s">
        <v>12</v>
      </c>
      <c r="E30" s="1" t="s">
        <v>456</v>
      </c>
      <c r="F30" s="1" t="s">
        <v>22</v>
      </c>
      <c r="G30" s="82">
        <v>578.37</v>
      </c>
      <c r="H30" s="82">
        <f>547.95918+30.41082</f>
        <v>578.36999999999989</v>
      </c>
      <c r="I30" s="63">
        <f t="shared" si="1"/>
        <v>99.999999999999972</v>
      </c>
    </row>
    <row r="31" spans="1:9" ht="12.75" x14ac:dyDescent="0.2">
      <c r="A31" s="2" t="s">
        <v>358</v>
      </c>
      <c r="B31" s="1" t="s">
        <v>189</v>
      </c>
      <c r="C31" s="1" t="s">
        <v>69</v>
      </c>
      <c r="D31" s="1" t="s">
        <v>12</v>
      </c>
      <c r="E31" s="1" t="s">
        <v>359</v>
      </c>
      <c r="F31" s="1"/>
      <c r="G31" s="63">
        <f t="shared" ref="G31:H31" si="11">G32</f>
        <v>15478.41</v>
      </c>
      <c r="H31" s="63">
        <f t="shared" si="11"/>
        <v>15478.41</v>
      </c>
      <c r="I31" s="63">
        <f t="shared" si="1"/>
        <v>100</v>
      </c>
    </row>
    <row r="32" spans="1:9" ht="24" x14ac:dyDescent="0.2">
      <c r="A32" s="2" t="s">
        <v>25</v>
      </c>
      <c r="B32" s="1" t="s">
        <v>189</v>
      </c>
      <c r="C32" s="1" t="s">
        <v>69</v>
      </c>
      <c r="D32" s="1" t="s">
        <v>12</v>
      </c>
      <c r="E32" s="1" t="s">
        <v>359</v>
      </c>
      <c r="F32" s="1" t="s">
        <v>22</v>
      </c>
      <c r="G32" s="63">
        <v>15478.41</v>
      </c>
      <c r="H32" s="63">
        <f>11725.801+3752.609</f>
        <v>15478.41</v>
      </c>
      <c r="I32" s="63">
        <f t="shared" si="1"/>
        <v>100</v>
      </c>
    </row>
    <row r="33" spans="1:9" ht="24" x14ac:dyDescent="0.2">
      <c r="A33" s="5" t="s">
        <v>414</v>
      </c>
      <c r="B33" s="1" t="s">
        <v>189</v>
      </c>
      <c r="C33" s="1" t="s">
        <v>69</v>
      </c>
      <c r="D33" s="1" t="s">
        <v>12</v>
      </c>
      <c r="E33" s="1" t="s">
        <v>415</v>
      </c>
      <c r="F33" s="1"/>
      <c r="G33" s="63">
        <f t="shared" ref="G33:H34" si="12">G34</f>
        <v>800</v>
      </c>
      <c r="H33" s="63">
        <f t="shared" si="12"/>
        <v>419.99299999999999</v>
      </c>
      <c r="I33" s="63">
        <f t="shared" si="1"/>
        <v>52.499124999999999</v>
      </c>
    </row>
    <row r="34" spans="1:9" ht="36" x14ac:dyDescent="0.2">
      <c r="A34" s="5" t="s">
        <v>416</v>
      </c>
      <c r="B34" s="1" t="s">
        <v>189</v>
      </c>
      <c r="C34" s="1" t="s">
        <v>69</v>
      </c>
      <c r="D34" s="1" t="s">
        <v>12</v>
      </c>
      <c r="E34" s="1" t="s">
        <v>417</v>
      </c>
      <c r="F34" s="1"/>
      <c r="G34" s="83">
        <f t="shared" si="12"/>
        <v>800</v>
      </c>
      <c r="H34" s="83">
        <f t="shared" si="12"/>
        <v>419.99299999999999</v>
      </c>
      <c r="I34" s="63">
        <f t="shared" si="1"/>
        <v>52.499124999999999</v>
      </c>
    </row>
    <row r="35" spans="1:9" ht="24" x14ac:dyDescent="0.2">
      <c r="A35" s="5" t="s">
        <v>61</v>
      </c>
      <c r="B35" s="1" t="s">
        <v>189</v>
      </c>
      <c r="C35" s="1" t="s">
        <v>69</v>
      </c>
      <c r="D35" s="1" t="s">
        <v>12</v>
      </c>
      <c r="E35" s="1" t="s">
        <v>417</v>
      </c>
      <c r="F35" s="1" t="s">
        <v>387</v>
      </c>
      <c r="G35" s="63">
        <v>800</v>
      </c>
      <c r="H35" s="83">
        <f>419.993</f>
        <v>419.99299999999999</v>
      </c>
      <c r="I35" s="63">
        <f t="shared" si="1"/>
        <v>52.499124999999999</v>
      </c>
    </row>
    <row r="36" spans="1:9" ht="24" x14ac:dyDescent="0.2">
      <c r="A36" s="5" t="s">
        <v>461</v>
      </c>
      <c r="B36" s="1" t="s">
        <v>189</v>
      </c>
      <c r="C36" s="1" t="s">
        <v>69</v>
      </c>
      <c r="D36" s="1" t="s">
        <v>12</v>
      </c>
      <c r="E36" s="1" t="s">
        <v>544</v>
      </c>
      <c r="F36" s="1"/>
      <c r="G36" s="63">
        <f>G37</f>
        <v>1515.1510000000001</v>
      </c>
      <c r="H36" s="63">
        <f t="shared" ref="H36:H37" si="13">H37</f>
        <v>1515.1510000000001</v>
      </c>
      <c r="I36" s="63">
        <f t="shared" si="1"/>
        <v>100</v>
      </c>
    </row>
    <row r="37" spans="1:9" ht="36" x14ac:dyDescent="0.2">
      <c r="A37" s="5" t="s">
        <v>546</v>
      </c>
      <c r="B37" s="1" t="s">
        <v>189</v>
      </c>
      <c r="C37" s="1" t="s">
        <v>69</v>
      </c>
      <c r="D37" s="1" t="s">
        <v>12</v>
      </c>
      <c r="E37" s="1" t="s">
        <v>545</v>
      </c>
      <c r="F37" s="1"/>
      <c r="G37" s="63">
        <f>G38</f>
        <v>1515.1510000000001</v>
      </c>
      <c r="H37" s="63">
        <f t="shared" si="13"/>
        <v>1515.1510000000001</v>
      </c>
      <c r="I37" s="63">
        <f t="shared" si="1"/>
        <v>100</v>
      </c>
    </row>
    <row r="38" spans="1:9" ht="24" x14ac:dyDescent="0.2">
      <c r="A38" s="2" t="s">
        <v>25</v>
      </c>
      <c r="B38" s="1" t="s">
        <v>189</v>
      </c>
      <c r="C38" s="1" t="s">
        <v>69</v>
      </c>
      <c r="D38" s="1" t="s">
        <v>12</v>
      </c>
      <c r="E38" s="1" t="s">
        <v>545</v>
      </c>
      <c r="F38" s="1" t="s">
        <v>22</v>
      </c>
      <c r="G38" s="63">
        <v>1515.1510000000001</v>
      </c>
      <c r="H38" s="83">
        <f>1515.151</f>
        <v>1515.1510000000001</v>
      </c>
      <c r="I38" s="63">
        <f t="shared" si="1"/>
        <v>100</v>
      </c>
    </row>
    <row r="39" spans="1:9" ht="12.75" x14ac:dyDescent="0.2">
      <c r="A39" s="2" t="s">
        <v>76</v>
      </c>
      <c r="B39" s="1" t="s">
        <v>189</v>
      </c>
      <c r="C39" s="1" t="s">
        <v>69</v>
      </c>
      <c r="D39" s="1" t="s">
        <v>23</v>
      </c>
      <c r="E39" s="1"/>
      <c r="F39" s="1"/>
      <c r="G39" s="63">
        <f>G40+G73</f>
        <v>356974.22795999999</v>
      </c>
      <c r="H39" s="63">
        <f>H40+H73</f>
        <v>355174.22696</v>
      </c>
      <c r="I39" s="63">
        <f t="shared" si="1"/>
        <v>99.495761637951716</v>
      </c>
    </row>
    <row r="40" spans="1:9" ht="24" x14ac:dyDescent="0.2">
      <c r="A40" s="2" t="s">
        <v>393</v>
      </c>
      <c r="B40" s="1" t="s">
        <v>189</v>
      </c>
      <c r="C40" s="1" t="s">
        <v>69</v>
      </c>
      <c r="D40" s="1" t="s">
        <v>23</v>
      </c>
      <c r="E40" s="1" t="s">
        <v>324</v>
      </c>
      <c r="F40" s="1"/>
      <c r="G40" s="63">
        <f>G41</f>
        <v>356774.22795999999</v>
      </c>
      <c r="H40" s="63">
        <f t="shared" ref="H40" si="14">H41</f>
        <v>354974.22696</v>
      </c>
      <c r="I40" s="63">
        <f t="shared" si="1"/>
        <v>99.495478972712732</v>
      </c>
    </row>
    <row r="41" spans="1:9" ht="36" x14ac:dyDescent="0.2">
      <c r="A41" s="2" t="s">
        <v>258</v>
      </c>
      <c r="B41" s="1" t="s">
        <v>189</v>
      </c>
      <c r="C41" s="1" t="s">
        <v>69</v>
      </c>
      <c r="D41" s="1" t="s">
        <v>23</v>
      </c>
      <c r="E41" s="1" t="s">
        <v>303</v>
      </c>
      <c r="F41" s="1"/>
      <c r="G41" s="63">
        <f>G42+G67+G70</f>
        <v>356774.22795999999</v>
      </c>
      <c r="H41" s="63">
        <f>H42+H67+H70</f>
        <v>354974.22696</v>
      </c>
      <c r="I41" s="63">
        <f t="shared" si="1"/>
        <v>99.495478972712732</v>
      </c>
    </row>
    <row r="42" spans="1:9" ht="40.5" customHeight="1" x14ac:dyDescent="0.2">
      <c r="A42" s="2" t="s">
        <v>259</v>
      </c>
      <c r="B42" s="1" t="s">
        <v>189</v>
      </c>
      <c r="C42" s="1" t="s">
        <v>69</v>
      </c>
      <c r="D42" s="1" t="s">
        <v>23</v>
      </c>
      <c r="E42" s="1" t="s">
        <v>302</v>
      </c>
      <c r="F42" s="1"/>
      <c r="G42" s="63">
        <f>G43+G55+G57+G49+G47+G61+G53+G63+G59+G65+G45+G51</f>
        <v>352405.99459999998</v>
      </c>
      <c r="H42" s="63">
        <f t="shared" ref="H42" si="15">H43+H55+H57+H49+H47+H61+H53+H63+H59+H65+H45+H51</f>
        <v>352405.99359999999</v>
      </c>
      <c r="I42" s="63">
        <f t="shared" si="1"/>
        <v>99.999999716236388</v>
      </c>
    </row>
    <row r="43" spans="1:9" ht="36" x14ac:dyDescent="0.2">
      <c r="A43" s="2" t="s">
        <v>190</v>
      </c>
      <c r="B43" s="1" t="s">
        <v>189</v>
      </c>
      <c r="C43" s="1" t="s">
        <v>69</v>
      </c>
      <c r="D43" s="1" t="s">
        <v>23</v>
      </c>
      <c r="E43" s="1" t="s">
        <v>304</v>
      </c>
      <c r="F43" s="1"/>
      <c r="G43" s="63">
        <f t="shared" ref="G43:H43" si="16">G44</f>
        <v>57056.089370000002</v>
      </c>
      <c r="H43" s="63">
        <f t="shared" si="16"/>
        <v>57056.089369999994</v>
      </c>
      <c r="I43" s="63">
        <f t="shared" si="1"/>
        <v>99.999999999999986</v>
      </c>
    </row>
    <row r="44" spans="1:9" ht="24" x14ac:dyDescent="0.2">
      <c r="A44" s="2" t="s">
        <v>25</v>
      </c>
      <c r="B44" s="1" t="s">
        <v>189</v>
      </c>
      <c r="C44" s="1" t="s">
        <v>69</v>
      </c>
      <c r="D44" s="1" t="s">
        <v>23</v>
      </c>
      <c r="E44" s="1" t="s">
        <v>304</v>
      </c>
      <c r="F44" s="1" t="s">
        <v>22</v>
      </c>
      <c r="G44" s="63">
        <v>57056.089370000002</v>
      </c>
      <c r="H44" s="63">
        <f>50650.89642+6405.19295</f>
        <v>57056.089369999994</v>
      </c>
      <c r="I44" s="63">
        <f t="shared" si="1"/>
        <v>99.999999999999986</v>
      </c>
    </row>
    <row r="45" spans="1:9" ht="24" x14ac:dyDescent="0.2">
      <c r="A45" s="5" t="s">
        <v>459</v>
      </c>
      <c r="B45" s="1" t="s">
        <v>189</v>
      </c>
      <c r="C45" s="1" t="s">
        <v>69</v>
      </c>
      <c r="D45" s="1" t="s">
        <v>23</v>
      </c>
      <c r="E45" s="1" t="s">
        <v>462</v>
      </c>
      <c r="F45" s="1"/>
      <c r="G45" s="63">
        <f t="shared" ref="G45:H45" si="17">G46</f>
        <v>358.59660000000002</v>
      </c>
      <c r="H45" s="63">
        <f t="shared" si="17"/>
        <v>358.59559999999999</v>
      </c>
      <c r="I45" s="63">
        <f t="shared" si="1"/>
        <v>99.99972113511393</v>
      </c>
    </row>
    <row r="46" spans="1:9" ht="24" x14ac:dyDescent="0.2">
      <c r="A46" s="2" t="s">
        <v>25</v>
      </c>
      <c r="B46" s="1" t="s">
        <v>189</v>
      </c>
      <c r="C46" s="1" t="s">
        <v>69</v>
      </c>
      <c r="D46" s="1" t="s">
        <v>23</v>
      </c>
      <c r="E46" s="1" t="s">
        <v>462</v>
      </c>
      <c r="F46" s="1" t="s">
        <v>22</v>
      </c>
      <c r="G46" s="63">
        <v>358.59660000000002</v>
      </c>
      <c r="H46" s="63">
        <f>358.5956</f>
        <v>358.59559999999999</v>
      </c>
      <c r="I46" s="63">
        <f t="shared" si="1"/>
        <v>99.99972113511393</v>
      </c>
    </row>
    <row r="47" spans="1:9" ht="38.25" customHeight="1" x14ac:dyDescent="0.2">
      <c r="A47" s="2" t="s">
        <v>260</v>
      </c>
      <c r="B47" s="1" t="s">
        <v>189</v>
      </c>
      <c r="C47" s="1" t="s">
        <v>69</v>
      </c>
      <c r="D47" s="1" t="s">
        <v>23</v>
      </c>
      <c r="E47" s="1" t="s">
        <v>305</v>
      </c>
      <c r="F47" s="1"/>
      <c r="G47" s="63">
        <f>G48</f>
        <v>21052.49397</v>
      </c>
      <c r="H47" s="63">
        <f t="shared" ref="H47" si="18">H48</f>
        <v>21052.49397</v>
      </c>
      <c r="I47" s="63">
        <f t="shared" si="1"/>
        <v>100</v>
      </c>
    </row>
    <row r="48" spans="1:9" ht="24" x14ac:dyDescent="0.2">
      <c r="A48" s="2" t="s">
        <v>25</v>
      </c>
      <c r="B48" s="1" t="s">
        <v>189</v>
      </c>
      <c r="C48" s="1" t="s">
        <v>69</v>
      </c>
      <c r="D48" s="1" t="s">
        <v>23</v>
      </c>
      <c r="E48" s="1" t="s">
        <v>305</v>
      </c>
      <c r="F48" s="1" t="s">
        <v>22</v>
      </c>
      <c r="G48" s="63">
        <v>21052.49397</v>
      </c>
      <c r="H48" s="63">
        <f>21052.49397</f>
        <v>21052.49397</v>
      </c>
      <c r="I48" s="63">
        <f t="shared" si="1"/>
        <v>100</v>
      </c>
    </row>
    <row r="49" spans="1:9" ht="26.25" customHeight="1" x14ac:dyDescent="0.2">
      <c r="A49" s="5" t="s">
        <v>75</v>
      </c>
      <c r="B49" s="1" t="s">
        <v>189</v>
      </c>
      <c r="C49" s="1" t="s">
        <v>69</v>
      </c>
      <c r="D49" s="1" t="s">
        <v>23</v>
      </c>
      <c r="E49" s="1" t="s">
        <v>306</v>
      </c>
      <c r="F49" s="1"/>
      <c r="G49" s="63">
        <f>G50</f>
        <v>3044</v>
      </c>
      <c r="H49" s="63">
        <f t="shared" ref="H49" si="19">H50</f>
        <v>3044</v>
      </c>
      <c r="I49" s="63">
        <f t="shared" si="1"/>
        <v>100</v>
      </c>
    </row>
    <row r="50" spans="1:9" ht="24" x14ac:dyDescent="0.2">
      <c r="A50" s="2" t="s">
        <v>25</v>
      </c>
      <c r="B50" s="1" t="s">
        <v>189</v>
      </c>
      <c r="C50" s="1" t="s">
        <v>69</v>
      </c>
      <c r="D50" s="1" t="s">
        <v>23</v>
      </c>
      <c r="E50" s="1" t="s">
        <v>306</v>
      </c>
      <c r="F50" s="1" t="s">
        <v>22</v>
      </c>
      <c r="G50" s="63">
        <v>3044</v>
      </c>
      <c r="H50" s="63">
        <v>3044</v>
      </c>
      <c r="I50" s="63">
        <f t="shared" si="1"/>
        <v>100</v>
      </c>
    </row>
    <row r="51" spans="1:9" ht="24" x14ac:dyDescent="0.2">
      <c r="A51" s="2" t="s">
        <v>555</v>
      </c>
      <c r="B51" s="1" t="s">
        <v>189</v>
      </c>
      <c r="C51" s="1" t="s">
        <v>69</v>
      </c>
      <c r="D51" s="1" t="s">
        <v>23</v>
      </c>
      <c r="E51" s="1" t="s">
        <v>554</v>
      </c>
      <c r="F51" s="1"/>
      <c r="G51" s="82">
        <f>G52</f>
        <v>1471.7387799999999</v>
      </c>
      <c r="H51" s="82">
        <f t="shared" ref="H51:H53" si="20">H52</f>
        <v>1471.7387799999999</v>
      </c>
      <c r="I51" s="63">
        <f t="shared" si="1"/>
        <v>100</v>
      </c>
    </row>
    <row r="52" spans="1:9" ht="24" x14ac:dyDescent="0.2">
      <c r="A52" s="2" t="s">
        <v>25</v>
      </c>
      <c r="B52" s="1" t="s">
        <v>189</v>
      </c>
      <c r="C52" s="1" t="s">
        <v>69</v>
      </c>
      <c r="D52" s="1" t="s">
        <v>23</v>
      </c>
      <c r="E52" s="1" t="s">
        <v>554</v>
      </c>
      <c r="F52" s="1" t="s">
        <v>22</v>
      </c>
      <c r="G52" s="82">
        <v>1471.7387799999999</v>
      </c>
      <c r="H52" s="82">
        <v>1471.7387799999999</v>
      </c>
      <c r="I52" s="63">
        <f t="shared" si="1"/>
        <v>100</v>
      </c>
    </row>
    <row r="53" spans="1:9" ht="36" x14ac:dyDescent="0.2">
      <c r="A53" s="2" t="s">
        <v>457</v>
      </c>
      <c r="B53" s="1" t="s">
        <v>189</v>
      </c>
      <c r="C53" s="1" t="s">
        <v>69</v>
      </c>
      <c r="D53" s="1" t="s">
        <v>23</v>
      </c>
      <c r="E53" s="1" t="s">
        <v>458</v>
      </c>
      <c r="F53" s="1"/>
      <c r="G53" s="82">
        <f>G54</f>
        <v>10844.92857</v>
      </c>
      <c r="H53" s="82">
        <f t="shared" si="20"/>
        <v>10844.92857</v>
      </c>
      <c r="I53" s="63">
        <f t="shared" si="1"/>
        <v>100</v>
      </c>
    </row>
    <row r="54" spans="1:9" ht="24" x14ac:dyDescent="0.2">
      <c r="A54" s="2" t="s">
        <v>25</v>
      </c>
      <c r="B54" s="1" t="s">
        <v>189</v>
      </c>
      <c r="C54" s="1" t="s">
        <v>69</v>
      </c>
      <c r="D54" s="1" t="s">
        <v>23</v>
      </c>
      <c r="E54" s="1" t="s">
        <v>458</v>
      </c>
      <c r="F54" s="1" t="s">
        <v>22</v>
      </c>
      <c r="G54" s="82">
        <v>10844.92857</v>
      </c>
      <c r="H54" s="82">
        <v>10844.92857</v>
      </c>
      <c r="I54" s="63">
        <f t="shared" si="1"/>
        <v>100</v>
      </c>
    </row>
    <row r="55" spans="1:9" ht="96" x14ac:dyDescent="0.2">
      <c r="A55" s="2" t="s">
        <v>250</v>
      </c>
      <c r="B55" s="1" t="s">
        <v>189</v>
      </c>
      <c r="C55" s="1" t="s">
        <v>69</v>
      </c>
      <c r="D55" s="1" t="s">
        <v>23</v>
      </c>
      <c r="E55" s="1" t="s">
        <v>307</v>
      </c>
      <c r="F55" s="1"/>
      <c r="G55" s="63">
        <f>G56</f>
        <v>180986.253</v>
      </c>
      <c r="H55" s="63">
        <f t="shared" ref="H55" si="21">H56</f>
        <v>180986.253</v>
      </c>
      <c r="I55" s="63">
        <f t="shared" si="1"/>
        <v>100</v>
      </c>
    </row>
    <row r="56" spans="1:9" ht="24" x14ac:dyDescent="0.2">
      <c r="A56" s="2" t="s">
        <v>25</v>
      </c>
      <c r="B56" s="1" t="s">
        <v>189</v>
      </c>
      <c r="C56" s="1" t="s">
        <v>69</v>
      </c>
      <c r="D56" s="1" t="s">
        <v>23</v>
      </c>
      <c r="E56" s="1" t="s">
        <v>307</v>
      </c>
      <c r="F56" s="1" t="s">
        <v>22</v>
      </c>
      <c r="G56" s="63">
        <v>180986.253</v>
      </c>
      <c r="H56" s="63">
        <v>180986.253</v>
      </c>
      <c r="I56" s="63">
        <f t="shared" si="1"/>
        <v>100</v>
      </c>
    </row>
    <row r="57" spans="1:9" ht="36" x14ac:dyDescent="0.2">
      <c r="A57" s="2" t="s">
        <v>200</v>
      </c>
      <c r="B57" s="1" t="s">
        <v>189</v>
      </c>
      <c r="C57" s="1" t="s">
        <v>69</v>
      </c>
      <c r="D57" s="1" t="s">
        <v>23</v>
      </c>
      <c r="E57" s="1" t="s">
        <v>308</v>
      </c>
      <c r="F57" s="1"/>
      <c r="G57" s="63">
        <f>G58</f>
        <v>1030.28</v>
      </c>
      <c r="H57" s="63">
        <f t="shared" ref="H57:H59" si="22">H58</f>
        <v>1030.28</v>
      </c>
      <c r="I57" s="63">
        <f t="shared" si="1"/>
        <v>100</v>
      </c>
    </row>
    <row r="58" spans="1:9" ht="24" x14ac:dyDescent="0.2">
      <c r="A58" s="2" t="s">
        <v>25</v>
      </c>
      <c r="B58" s="1" t="s">
        <v>189</v>
      </c>
      <c r="C58" s="1" t="s">
        <v>69</v>
      </c>
      <c r="D58" s="1" t="s">
        <v>23</v>
      </c>
      <c r="E58" s="1" t="s">
        <v>308</v>
      </c>
      <c r="F58" s="1" t="s">
        <v>22</v>
      </c>
      <c r="G58" s="63">
        <v>1030.28</v>
      </c>
      <c r="H58" s="63">
        <v>1030.28</v>
      </c>
      <c r="I58" s="63">
        <f t="shared" si="1"/>
        <v>100</v>
      </c>
    </row>
    <row r="59" spans="1:9" ht="48" x14ac:dyDescent="0.2">
      <c r="A59" s="5" t="s">
        <v>466</v>
      </c>
      <c r="B59" s="1" t="s">
        <v>189</v>
      </c>
      <c r="C59" s="1" t="s">
        <v>69</v>
      </c>
      <c r="D59" s="1" t="s">
        <v>23</v>
      </c>
      <c r="E59" s="1" t="s">
        <v>465</v>
      </c>
      <c r="F59" s="1"/>
      <c r="G59" s="63">
        <f>G60</f>
        <v>2986.37041</v>
      </c>
      <c r="H59" s="63">
        <f t="shared" si="22"/>
        <v>2986.37041</v>
      </c>
      <c r="I59" s="63">
        <f t="shared" si="1"/>
        <v>100</v>
      </c>
    </row>
    <row r="60" spans="1:9" ht="24" x14ac:dyDescent="0.2">
      <c r="A60" s="2" t="s">
        <v>25</v>
      </c>
      <c r="B60" s="1" t="s">
        <v>189</v>
      </c>
      <c r="C60" s="1" t="s">
        <v>69</v>
      </c>
      <c r="D60" s="1" t="s">
        <v>23</v>
      </c>
      <c r="E60" s="1" t="s">
        <v>465</v>
      </c>
      <c r="F60" s="1" t="s">
        <v>22</v>
      </c>
      <c r="G60" s="63">
        <v>2986.37041</v>
      </c>
      <c r="H60" s="63">
        <v>2986.37041</v>
      </c>
      <c r="I60" s="63">
        <f t="shared" si="1"/>
        <v>100</v>
      </c>
    </row>
    <row r="61" spans="1:9" ht="12.75" x14ac:dyDescent="0.2">
      <c r="A61" s="2" t="s">
        <v>358</v>
      </c>
      <c r="B61" s="1" t="s">
        <v>189</v>
      </c>
      <c r="C61" s="1" t="s">
        <v>69</v>
      </c>
      <c r="D61" s="1" t="s">
        <v>23</v>
      </c>
      <c r="E61" s="1" t="s">
        <v>359</v>
      </c>
      <c r="F61" s="1"/>
      <c r="G61" s="63">
        <f t="shared" ref="G61:H65" si="23">G62</f>
        <v>39974.661630000002</v>
      </c>
      <c r="H61" s="63">
        <f t="shared" si="23"/>
        <v>39974.661630000002</v>
      </c>
      <c r="I61" s="63">
        <f t="shared" si="1"/>
        <v>100</v>
      </c>
    </row>
    <row r="62" spans="1:9" ht="24" x14ac:dyDescent="0.2">
      <c r="A62" s="2" t="s">
        <v>25</v>
      </c>
      <c r="B62" s="1" t="s">
        <v>189</v>
      </c>
      <c r="C62" s="1" t="s">
        <v>69</v>
      </c>
      <c r="D62" s="1" t="s">
        <v>23</v>
      </c>
      <c r="E62" s="1" t="s">
        <v>359</v>
      </c>
      <c r="F62" s="1" t="s">
        <v>22</v>
      </c>
      <c r="G62" s="63">
        <v>39974.661630000002</v>
      </c>
      <c r="H62" s="63">
        <v>39974.661630000002</v>
      </c>
      <c r="I62" s="63">
        <f t="shared" si="1"/>
        <v>100</v>
      </c>
    </row>
    <row r="63" spans="1:9" ht="36" x14ac:dyDescent="0.2">
      <c r="A63" s="5" t="s">
        <v>464</v>
      </c>
      <c r="B63" s="1" t="s">
        <v>189</v>
      </c>
      <c r="C63" s="1" t="s">
        <v>69</v>
      </c>
      <c r="D63" s="1" t="s">
        <v>23</v>
      </c>
      <c r="E63" s="1" t="s">
        <v>463</v>
      </c>
      <c r="F63" s="1"/>
      <c r="G63" s="63">
        <f t="shared" si="23"/>
        <v>14300.582270000001</v>
      </c>
      <c r="H63" s="63">
        <f t="shared" si="23"/>
        <v>14300.582270000001</v>
      </c>
      <c r="I63" s="63">
        <f t="shared" si="1"/>
        <v>100</v>
      </c>
    </row>
    <row r="64" spans="1:9" ht="24" x14ac:dyDescent="0.2">
      <c r="A64" s="2" t="s">
        <v>25</v>
      </c>
      <c r="B64" s="1" t="s">
        <v>189</v>
      </c>
      <c r="C64" s="1" t="s">
        <v>69</v>
      </c>
      <c r="D64" s="1" t="s">
        <v>23</v>
      </c>
      <c r="E64" s="1" t="s">
        <v>463</v>
      </c>
      <c r="F64" s="1" t="s">
        <v>22</v>
      </c>
      <c r="G64" s="63">
        <v>14300.582270000001</v>
      </c>
      <c r="H64" s="63">
        <v>14300.582270000001</v>
      </c>
      <c r="I64" s="63">
        <f t="shared" si="1"/>
        <v>100</v>
      </c>
    </row>
    <row r="65" spans="1:9" ht="48" x14ac:dyDescent="0.2">
      <c r="A65" s="2" t="s">
        <v>485</v>
      </c>
      <c r="B65" s="1" t="s">
        <v>189</v>
      </c>
      <c r="C65" s="1" t="s">
        <v>69</v>
      </c>
      <c r="D65" s="1" t="s">
        <v>23</v>
      </c>
      <c r="E65" s="1" t="s">
        <v>484</v>
      </c>
      <c r="F65" s="1"/>
      <c r="G65" s="63">
        <f t="shared" si="23"/>
        <v>19300</v>
      </c>
      <c r="H65" s="63">
        <f t="shared" si="23"/>
        <v>19300</v>
      </c>
      <c r="I65" s="63">
        <f t="shared" si="1"/>
        <v>100</v>
      </c>
    </row>
    <row r="66" spans="1:9" ht="24" x14ac:dyDescent="0.2">
      <c r="A66" s="2" t="s">
        <v>25</v>
      </c>
      <c r="B66" s="1" t="s">
        <v>189</v>
      </c>
      <c r="C66" s="1" t="s">
        <v>69</v>
      </c>
      <c r="D66" s="1" t="s">
        <v>23</v>
      </c>
      <c r="E66" s="1" t="s">
        <v>484</v>
      </c>
      <c r="F66" s="1" t="s">
        <v>22</v>
      </c>
      <c r="G66" s="63">
        <v>19300</v>
      </c>
      <c r="H66" s="63">
        <v>19300</v>
      </c>
      <c r="I66" s="63">
        <f t="shared" si="1"/>
        <v>100</v>
      </c>
    </row>
    <row r="67" spans="1:9" ht="24" x14ac:dyDescent="0.2">
      <c r="A67" s="2" t="s">
        <v>338</v>
      </c>
      <c r="B67" s="1" t="s">
        <v>189</v>
      </c>
      <c r="C67" s="1" t="s">
        <v>69</v>
      </c>
      <c r="D67" s="1" t="s">
        <v>23</v>
      </c>
      <c r="E67" s="1" t="s">
        <v>339</v>
      </c>
      <c r="F67" s="1"/>
      <c r="G67" s="63">
        <f>G68</f>
        <v>2568.2333600000002</v>
      </c>
      <c r="H67" s="63">
        <f t="shared" ref="H67" si="24">H68</f>
        <v>2568.2333600000002</v>
      </c>
      <c r="I67" s="63">
        <f t="shared" si="1"/>
        <v>100</v>
      </c>
    </row>
    <row r="68" spans="1:9" ht="36" x14ac:dyDescent="0.2">
      <c r="A68" s="2" t="s">
        <v>340</v>
      </c>
      <c r="B68" s="1" t="s">
        <v>189</v>
      </c>
      <c r="C68" s="1" t="s">
        <v>69</v>
      </c>
      <c r="D68" s="1" t="s">
        <v>23</v>
      </c>
      <c r="E68" s="1" t="s">
        <v>341</v>
      </c>
      <c r="F68" s="1"/>
      <c r="G68" s="63">
        <f t="shared" ref="G68:H68" si="25">G69</f>
        <v>2568.2333600000002</v>
      </c>
      <c r="H68" s="63">
        <f t="shared" si="25"/>
        <v>2568.2333600000002</v>
      </c>
      <c r="I68" s="63">
        <f t="shared" si="1"/>
        <v>100</v>
      </c>
    </row>
    <row r="69" spans="1:9" ht="25.5" customHeight="1" x14ac:dyDescent="0.2">
      <c r="A69" s="2" t="s">
        <v>25</v>
      </c>
      <c r="B69" s="1" t="s">
        <v>189</v>
      </c>
      <c r="C69" s="1" t="s">
        <v>69</v>
      </c>
      <c r="D69" s="1" t="s">
        <v>23</v>
      </c>
      <c r="E69" s="1" t="s">
        <v>341</v>
      </c>
      <c r="F69" s="1" t="s">
        <v>22</v>
      </c>
      <c r="G69" s="63">
        <v>2568.2333600000002</v>
      </c>
      <c r="H69" s="63">
        <v>2568.2333600000002</v>
      </c>
      <c r="I69" s="63">
        <f t="shared" si="1"/>
        <v>100</v>
      </c>
    </row>
    <row r="70" spans="1:9" ht="24" x14ac:dyDescent="0.2">
      <c r="A70" s="5" t="s">
        <v>414</v>
      </c>
      <c r="B70" s="1" t="s">
        <v>189</v>
      </c>
      <c r="C70" s="1" t="s">
        <v>69</v>
      </c>
      <c r="D70" s="1" t="s">
        <v>23</v>
      </c>
      <c r="E70" s="1" t="s">
        <v>415</v>
      </c>
      <c r="F70" s="1"/>
      <c r="G70" s="63">
        <f>G71</f>
        <v>1800</v>
      </c>
      <c r="H70" s="63">
        <f t="shared" ref="H70:H71" si="26">H71</f>
        <v>0</v>
      </c>
      <c r="I70" s="63">
        <f t="shared" si="1"/>
        <v>0</v>
      </c>
    </row>
    <row r="71" spans="1:9" ht="36" x14ac:dyDescent="0.2">
      <c r="A71" s="5" t="s">
        <v>416</v>
      </c>
      <c r="B71" s="1" t="s">
        <v>189</v>
      </c>
      <c r="C71" s="1" t="s">
        <v>69</v>
      </c>
      <c r="D71" s="1" t="s">
        <v>23</v>
      </c>
      <c r="E71" s="1" t="s">
        <v>417</v>
      </c>
      <c r="F71" s="1"/>
      <c r="G71" s="83">
        <f>G72</f>
        <v>1800</v>
      </c>
      <c r="H71" s="83">
        <f t="shared" si="26"/>
        <v>0</v>
      </c>
      <c r="I71" s="63">
        <f t="shared" si="1"/>
        <v>0</v>
      </c>
    </row>
    <row r="72" spans="1:9" ht="24" x14ac:dyDescent="0.2">
      <c r="A72" s="2" t="s">
        <v>61</v>
      </c>
      <c r="B72" s="1" t="s">
        <v>189</v>
      </c>
      <c r="C72" s="1" t="s">
        <v>69</v>
      </c>
      <c r="D72" s="1" t="s">
        <v>23</v>
      </c>
      <c r="E72" s="1" t="s">
        <v>417</v>
      </c>
      <c r="F72" s="1" t="s">
        <v>387</v>
      </c>
      <c r="G72" s="63">
        <v>1800</v>
      </c>
      <c r="H72" s="83"/>
      <c r="I72" s="63">
        <f t="shared" si="1"/>
        <v>0</v>
      </c>
    </row>
    <row r="73" spans="1:9" ht="12.75" x14ac:dyDescent="0.2">
      <c r="A73" s="2" t="s">
        <v>450</v>
      </c>
      <c r="B73" s="1" t="s">
        <v>189</v>
      </c>
      <c r="C73" s="1" t="s">
        <v>69</v>
      </c>
      <c r="D73" s="1" t="s">
        <v>23</v>
      </c>
      <c r="E73" s="1" t="s">
        <v>0</v>
      </c>
      <c r="F73" s="1"/>
      <c r="G73" s="84">
        <f>G74</f>
        <v>200</v>
      </c>
      <c r="H73" s="84">
        <f t="shared" ref="H73" si="27">H74</f>
        <v>200</v>
      </c>
      <c r="I73" s="63">
        <f t="shared" si="1"/>
        <v>100</v>
      </c>
    </row>
    <row r="74" spans="1:9" ht="12.75" x14ac:dyDescent="0.2">
      <c r="A74" s="2" t="s">
        <v>39</v>
      </c>
      <c r="B74" s="1" t="s">
        <v>189</v>
      </c>
      <c r="C74" s="1" t="s">
        <v>69</v>
      </c>
      <c r="D74" s="1" t="s">
        <v>23</v>
      </c>
      <c r="E74" s="1" t="s">
        <v>37</v>
      </c>
      <c r="F74" s="1"/>
      <c r="G74" s="84">
        <f t="shared" ref="G74:H74" si="28">G75</f>
        <v>200</v>
      </c>
      <c r="H74" s="84">
        <f t="shared" si="28"/>
        <v>200</v>
      </c>
      <c r="I74" s="63">
        <f t="shared" si="1"/>
        <v>100</v>
      </c>
    </row>
    <row r="75" spans="1:9" ht="24" x14ac:dyDescent="0.2">
      <c r="A75" s="2" t="s">
        <v>25</v>
      </c>
      <c r="B75" s="1" t="s">
        <v>189</v>
      </c>
      <c r="C75" s="1" t="s">
        <v>69</v>
      </c>
      <c r="D75" s="1" t="s">
        <v>23</v>
      </c>
      <c r="E75" s="1" t="s">
        <v>37</v>
      </c>
      <c r="F75" s="1" t="s">
        <v>22</v>
      </c>
      <c r="G75" s="84">
        <v>200</v>
      </c>
      <c r="H75" s="84">
        <v>200</v>
      </c>
      <c r="I75" s="63">
        <f t="shared" ref="I75:I138" si="29">H75/G75*100</f>
        <v>100</v>
      </c>
    </row>
    <row r="76" spans="1:9" ht="12.75" x14ac:dyDescent="0.2">
      <c r="A76" s="2" t="s">
        <v>203</v>
      </c>
      <c r="B76" s="1" t="s">
        <v>189</v>
      </c>
      <c r="C76" s="1" t="s">
        <v>69</v>
      </c>
      <c r="D76" s="1" t="s">
        <v>6</v>
      </c>
      <c r="E76" s="1"/>
      <c r="F76" s="1"/>
      <c r="G76" s="63">
        <f>G77</f>
        <v>28934.878000000001</v>
      </c>
      <c r="H76" s="63">
        <f t="shared" ref="H76" si="30">H77</f>
        <v>28670.729899999998</v>
      </c>
      <c r="I76" s="63">
        <f t="shared" si="29"/>
        <v>99.087094474702809</v>
      </c>
    </row>
    <row r="77" spans="1:9" ht="24" x14ac:dyDescent="0.2">
      <c r="A77" s="2" t="s">
        <v>393</v>
      </c>
      <c r="B77" s="1" t="s">
        <v>189</v>
      </c>
      <c r="C77" s="1" t="s">
        <v>69</v>
      </c>
      <c r="D77" s="1" t="s">
        <v>6</v>
      </c>
      <c r="E77" s="1" t="s">
        <v>324</v>
      </c>
      <c r="F77" s="1"/>
      <c r="G77" s="63">
        <f>G78</f>
        <v>28934.878000000001</v>
      </c>
      <c r="H77" s="63">
        <f t="shared" ref="H77" si="31">H78</f>
        <v>28670.729899999998</v>
      </c>
      <c r="I77" s="63">
        <f t="shared" si="29"/>
        <v>99.087094474702809</v>
      </c>
    </row>
    <row r="78" spans="1:9" ht="39" customHeight="1" x14ac:dyDescent="0.2">
      <c r="A78" s="2" t="s">
        <v>261</v>
      </c>
      <c r="B78" s="1" t="s">
        <v>189</v>
      </c>
      <c r="C78" s="1" t="s">
        <v>69</v>
      </c>
      <c r="D78" s="1" t="s">
        <v>6</v>
      </c>
      <c r="E78" s="1" t="s">
        <v>309</v>
      </c>
      <c r="F78" s="1"/>
      <c r="G78" s="63">
        <f>G79+G94</f>
        <v>28934.878000000001</v>
      </c>
      <c r="H78" s="63">
        <f>H79+H94</f>
        <v>28670.729899999998</v>
      </c>
      <c r="I78" s="63">
        <f t="shared" si="29"/>
        <v>99.087094474702809</v>
      </c>
    </row>
    <row r="79" spans="1:9" ht="12.75" x14ac:dyDescent="0.2">
      <c r="A79" s="2" t="s">
        <v>74</v>
      </c>
      <c r="B79" s="1" t="s">
        <v>189</v>
      </c>
      <c r="C79" s="1" t="s">
        <v>69</v>
      </c>
      <c r="D79" s="1" t="s">
        <v>6</v>
      </c>
      <c r="E79" s="1" t="s">
        <v>310</v>
      </c>
      <c r="F79" s="1"/>
      <c r="G79" s="63">
        <f>G80+G84+G92+G82+G88+G90</f>
        <v>19477.5628</v>
      </c>
      <c r="H79" s="63">
        <f>H80+H84+H92+H82+H88+H90</f>
        <v>19477.5628</v>
      </c>
      <c r="I79" s="63">
        <f t="shared" si="29"/>
        <v>100</v>
      </c>
    </row>
    <row r="80" spans="1:9" ht="24" x14ac:dyDescent="0.2">
      <c r="A80" s="2" t="s">
        <v>262</v>
      </c>
      <c r="B80" s="1" t="s">
        <v>189</v>
      </c>
      <c r="C80" s="1" t="s">
        <v>69</v>
      </c>
      <c r="D80" s="1" t="s">
        <v>6</v>
      </c>
      <c r="E80" s="1" t="s">
        <v>311</v>
      </c>
      <c r="F80" s="1"/>
      <c r="G80" s="63">
        <f>G81</f>
        <v>12724.112499999999</v>
      </c>
      <c r="H80" s="63">
        <f t="shared" ref="H80" si="32">H81</f>
        <v>12724.112500000001</v>
      </c>
      <c r="I80" s="63">
        <f t="shared" si="29"/>
        <v>100.00000000000003</v>
      </c>
    </row>
    <row r="81" spans="1:9" ht="24" x14ac:dyDescent="0.2">
      <c r="A81" s="2" t="s">
        <v>25</v>
      </c>
      <c r="B81" s="1" t="s">
        <v>189</v>
      </c>
      <c r="C81" s="1" t="s">
        <v>69</v>
      </c>
      <c r="D81" s="1" t="s">
        <v>6</v>
      </c>
      <c r="E81" s="1" t="s">
        <v>311</v>
      </c>
      <c r="F81" s="1" t="s">
        <v>22</v>
      </c>
      <c r="G81" s="63">
        <v>12724.112499999999</v>
      </c>
      <c r="H81" s="63">
        <f>12466.1195+257.993</f>
        <v>12724.112500000001</v>
      </c>
      <c r="I81" s="63">
        <f t="shared" si="29"/>
        <v>100.00000000000003</v>
      </c>
    </row>
    <row r="82" spans="1:9" ht="24" x14ac:dyDescent="0.2">
      <c r="A82" s="5" t="s">
        <v>459</v>
      </c>
      <c r="B82" s="1" t="s">
        <v>189</v>
      </c>
      <c r="C82" s="1" t="s">
        <v>69</v>
      </c>
      <c r="D82" s="1" t="s">
        <v>6</v>
      </c>
      <c r="E82" s="1" t="s">
        <v>467</v>
      </c>
      <c r="F82" s="1"/>
      <c r="G82" s="63">
        <f>G83</f>
        <v>21.635000000000002</v>
      </c>
      <c r="H82" s="63">
        <f t="shared" ref="H82" si="33">H83</f>
        <v>21.635000000000002</v>
      </c>
      <c r="I82" s="63">
        <f t="shared" si="29"/>
        <v>100</v>
      </c>
    </row>
    <row r="83" spans="1:9" ht="24" x14ac:dyDescent="0.2">
      <c r="A83" s="2" t="s">
        <v>25</v>
      </c>
      <c r="B83" s="1" t="s">
        <v>189</v>
      </c>
      <c r="C83" s="1" t="s">
        <v>69</v>
      </c>
      <c r="D83" s="1" t="s">
        <v>6</v>
      </c>
      <c r="E83" s="1" t="s">
        <v>467</v>
      </c>
      <c r="F83" s="1" t="s">
        <v>22</v>
      </c>
      <c r="G83" s="63">
        <v>21.635000000000002</v>
      </c>
      <c r="H83" s="63">
        <v>21.635000000000002</v>
      </c>
      <c r="I83" s="63">
        <f t="shared" si="29"/>
        <v>100</v>
      </c>
    </row>
    <row r="84" spans="1:9" ht="24" x14ac:dyDescent="0.2">
      <c r="A84" s="2" t="s">
        <v>263</v>
      </c>
      <c r="B84" s="1" t="s">
        <v>189</v>
      </c>
      <c r="C84" s="1" t="s">
        <v>69</v>
      </c>
      <c r="D84" s="1" t="s">
        <v>6</v>
      </c>
      <c r="E84" s="1" t="s">
        <v>332</v>
      </c>
      <c r="F84" s="1"/>
      <c r="G84" s="63">
        <f>G85+G86</f>
        <v>2814.9850000000001</v>
      </c>
      <c r="H84" s="63">
        <f t="shared" ref="H84" si="34">H85+H86</f>
        <v>2814.9850000000001</v>
      </c>
      <c r="I84" s="63">
        <f t="shared" si="29"/>
        <v>100</v>
      </c>
    </row>
    <row r="85" spans="1:9" ht="24" x14ac:dyDescent="0.2">
      <c r="A85" s="2" t="s">
        <v>25</v>
      </c>
      <c r="B85" s="1" t="s">
        <v>189</v>
      </c>
      <c r="C85" s="1" t="s">
        <v>69</v>
      </c>
      <c r="D85" s="1" t="s">
        <v>6</v>
      </c>
      <c r="E85" s="1" t="s">
        <v>332</v>
      </c>
      <c r="F85" s="1" t="s">
        <v>22</v>
      </c>
      <c r="G85" s="63">
        <v>2810.76</v>
      </c>
      <c r="H85" s="63">
        <v>2810.76</v>
      </c>
      <c r="I85" s="63">
        <f t="shared" si="29"/>
        <v>100</v>
      </c>
    </row>
    <row r="86" spans="1:9" ht="24" x14ac:dyDescent="0.2">
      <c r="A86" s="5" t="s">
        <v>459</v>
      </c>
      <c r="B86" s="1" t="s">
        <v>189</v>
      </c>
      <c r="C86" s="1" t="s">
        <v>69</v>
      </c>
      <c r="D86" s="1" t="s">
        <v>6</v>
      </c>
      <c r="E86" s="1" t="s">
        <v>468</v>
      </c>
      <c r="F86" s="1"/>
      <c r="G86" s="63">
        <f t="shared" ref="G86:H86" si="35">G87</f>
        <v>4.2249999999999996</v>
      </c>
      <c r="H86" s="63">
        <f t="shared" si="35"/>
        <v>4.2249999999999996</v>
      </c>
      <c r="I86" s="63">
        <f t="shared" si="29"/>
        <v>100</v>
      </c>
    </row>
    <row r="87" spans="1:9" ht="25.5" customHeight="1" x14ac:dyDescent="0.2">
      <c r="A87" s="2" t="s">
        <v>25</v>
      </c>
      <c r="B87" s="1" t="s">
        <v>189</v>
      </c>
      <c r="C87" s="1" t="s">
        <v>69</v>
      </c>
      <c r="D87" s="1" t="s">
        <v>6</v>
      </c>
      <c r="E87" s="1" t="s">
        <v>468</v>
      </c>
      <c r="F87" s="1" t="s">
        <v>22</v>
      </c>
      <c r="G87" s="63">
        <v>4.2249999999999996</v>
      </c>
      <c r="H87" s="63">
        <v>4.2249999999999996</v>
      </c>
      <c r="I87" s="63">
        <f t="shared" si="29"/>
        <v>100</v>
      </c>
    </row>
    <row r="88" spans="1:9" ht="25.5" customHeight="1" x14ac:dyDescent="0.2">
      <c r="A88" s="2" t="s">
        <v>524</v>
      </c>
      <c r="B88" s="1" t="s">
        <v>189</v>
      </c>
      <c r="C88" s="1" t="s">
        <v>69</v>
      </c>
      <c r="D88" s="1" t="s">
        <v>6</v>
      </c>
      <c r="E88" s="1" t="s">
        <v>522</v>
      </c>
      <c r="F88" s="1"/>
      <c r="G88" s="63">
        <f t="shared" ref="G88:H88" si="36">G89</f>
        <v>1.9387799999999999</v>
      </c>
      <c r="H88" s="63">
        <f t="shared" si="36"/>
        <v>1.9387799999999999</v>
      </c>
      <c r="I88" s="63">
        <f t="shared" si="29"/>
        <v>100</v>
      </c>
    </row>
    <row r="89" spans="1:9" ht="25.5" customHeight="1" x14ac:dyDescent="0.2">
      <c r="A89" s="2" t="s">
        <v>25</v>
      </c>
      <c r="B89" s="1" t="s">
        <v>189</v>
      </c>
      <c r="C89" s="1" t="s">
        <v>69</v>
      </c>
      <c r="D89" s="1" t="s">
        <v>6</v>
      </c>
      <c r="E89" s="1" t="s">
        <v>522</v>
      </c>
      <c r="F89" s="1" t="s">
        <v>22</v>
      </c>
      <c r="G89" s="63">
        <v>1.9387799999999999</v>
      </c>
      <c r="H89" s="63">
        <v>1.9387799999999999</v>
      </c>
      <c r="I89" s="63">
        <f t="shared" si="29"/>
        <v>100</v>
      </c>
    </row>
    <row r="90" spans="1:9" ht="25.5" customHeight="1" x14ac:dyDescent="0.2">
      <c r="A90" s="2" t="s">
        <v>525</v>
      </c>
      <c r="B90" s="1" t="s">
        <v>189</v>
      </c>
      <c r="C90" s="1" t="s">
        <v>69</v>
      </c>
      <c r="D90" s="1" t="s">
        <v>6</v>
      </c>
      <c r="E90" s="1" t="s">
        <v>523</v>
      </c>
      <c r="F90" s="1"/>
      <c r="G90" s="63">
        <f t="shared" ref="G90:H92" si="37">G91</f>
        <v>1634.6715200000001</v>
      </c>
      <c r="H90" s="63">
        <f t="shared" si="37"/>
        <v>1634.6715200000001</v>
      </c>
      <c r="I90" s="63">
        <f t="shared" si="29"/>
        <v>100</v>
      </c>
    </row>
    <row r="91" spans="1:9" ht="25.5" customHeight="1" x14ac:dyDescent="0.2">
      <c r="A91" s="2" t="s">
        <v>25</v>
      </c>
      <c r="B91" s="1" t="s">
        <v>189</v>
      </c>
      <c r="C91" s="1" t="s">
        <v>69</v>
      </c>
      <c r="D91" s="1" t="s">
        <v>6</v>
      </c>
      <c r="E91" s="1" t="s">
        <v>523</v>
      </c>
      <c r="F91" s="1" t="s">
        <v>22</v>
      </c>
      <c r="G91" s="63">
        <v>1634.6715200000001</v>
      </c>
      <c r="H91" s="63">
        <v>1634.6715200000001</v>
      </c>
      <c r="I91" s="63">
        <f t="shared" si="29"/>
        <v>100</v>
      </c>
    </row>
    <row r="92" spans="1:9" ht="12.75" x14ac:dyDescent="0.2">
      <c r="A92" s="2" t="s">
        <v>358</v>
      </c>
      <c r="B92" s="1" t="s">
        <v>189</v>
      </c>
      <c r="C92" s="1" t="s">
        <v>69</v>
      </c>
      <c r="D92" s="1" t="s">
        <v>6</v>
      </c>
      <c r="E92" s="1" t="s">
        <v>360</v>
      </c>
      <c r="F92" s="1"/>
      <c r="G92" s="63">
        <f t="shared" si="37"/>
        <v>2280.2199999999998</v>
      </c>
      <c r="H92" s="63">
        <f t="shared" si="37"/>
        <v>2280.2200000000003</v>
      </c>
      <c r="I92" s="63">
        <f t="shared" si="29"/>
        <v>100.00000000000003</v>
      </c>
    </row>
    <row r="93" spans="1:9" ht="24" x14ac:dyDescent="0.2">
      <c r="A93" s="2" t="s">
        <v>25</v>
      </c>
      <c r="B93" s="1" t="s">
        <v>189</v>
      </c>
      <c r="C93" s="1" t="s">
        <v>69</v>
      </c>
      <c r="D93" s="1" t="s">
        <v>6</v>
      </c>
      <c r="E93" s="1" t="s">
        <v>360</v>
      </c>
      <c r="F93" s="1" t="s">
        <v>22</v>
      </c>
      <c r="G93" s="63">
        <v>2280.2199999999998</v>
      </c>
      <c r="H93" s="63">
        <f>4.38+2275.84</f>
        <v>2280.2200000000003</v>
      </c>
      <c r="I93" s="63">
        <f t="shared" si="29"/>
        <v>100.00000000000003</v>
      </c>
    </row>
    <row r="94" spans="1:9" ht="24" x14ac:dyDescent="0.2">
      <c r="A94" s="2" t="s">
        <v>398</v>
      </c>
      <c r="B94" s="1" t="s">
        <v>189</v>
      </c>
      <c r="C94" s="1" t="s">
        <v>69</v>
      </c>
      <c r="D94" s="1" t="s">
        <v>6</v>
      </c>
      <c r="E94" s="1" t="s">
        <v>399</v>
      </c>
      <c r="F94" s="1"/>
      <c r="G94" s="63">
        <f>G95+G97+G99</f>
        <v>9457.3152000000009</v>
      </c>
      <c r="H94" s="63">
        <f t="shared" ref="H94" si="38">H95+H97+H99</f>
        <v>9193.1671000000006</v>
      </c>
      <c r="I94" s="63">
        <f t="shared" si="29"/>
        <v>97.2069441018525</v>
      </c>
    </row>
    <row r="95" spans="1:9" ht="24" x14ac:dyDescent="0.2">
      <c r="A95" s="2" t="s">
        <v>400</v>
      </c>
      <c r="B95" s="1" t="s">
        <v>189</v>
      </c>
      <c r="C95" s="1" t="s">
        <v>69</v>
      </c>
      <c r="D95" s="1" t="s">
        <v>6</v>
      </c>
      <c r="E95" s="1" t="s">
        <v>401</v>
      </c>
      <c r="F95" s="1"/>
      <c r="G95" s="63">
        <f>G96</f>
        <v>6127.3152</v>
      </c>
      <c r="H95" s="63">
        <f t="shared" ref="H95" si="39">H96</f>
        <v>5863.1670999999997</v>
      </c>
      <c r="I95" s="63">
        <f t="shared" si="29"/>
        <v>95.689007479164772</v>
      </c>
    </row>
    <row r="96" spans="1:9" ht="24" x14ac:dyDescent="0.2">
      <c r="A96" s="2" t="s">
        <v>25</v>
      </c>
      <c r="B96" s="1" t="s">
        <v>189</v>
      </c>
      <c r="C96" s="1" t="s">
        <v>69</v>
      </c>
      <c r="D96" s="1" t="s">
        <v>6</v>
      </c>
      <c r="E96" s="1" t="s">
        <v>401</v>
      </c>
      <c r="F96" s="1" t="s">
        <v>22</v>
      </c>
      <c r="G96" s="63">
        <v>6127.3152</v>
      </c>
      <c r="H96" s="84">
        <f>5863.1671</f>
        <v>5863.1670999999997</v>
      </c>
      <c r="I96" s="63">
        <f t="shared" si="29"/>
        <v>95.689007479164772</v>
      </c>
    </row>
    <row r="97" spans="1:9" ht="24" x14ac:dyDescent="0.2">
      <c r="A97" s="2" t="s">
        <v>402</v>
      </c>
      <c r="B97" s="1" t="s">
        <v>189</v>
      </c>
      <c r="C97" s="1" t="s">
        <v>69</v>
      </c>
      <c r="D97" s="1" t="s">
        <v>6</v>
      </c>
      <c r="E97" s="1" t="s">
        <v>403</v>
      </c>
      <c r="F97" s="1"/>
      <c r="G97" s="63">
        <f>G98</f>
        <v>3164.8</v>
      </c>
      <c r="H97" s="63">
        <f t="shared" ref="H97" si="40">H98</f>
        <v>3164.8</v>
      </c>
      <c r="I97" s="63">
        <f t="shared" si="29"/>
        <v>100</v>
      </c>
    </row>
    <row r="98" spans="1:9" ht="24" x14ac:dyDescent="0.2">
      <c r="A98" s="2" t="s">
        <v>25</v>
      </c>
      <c r="B98" s="1" t="s">
        <v>189</v>
      </c>
      <c r="C98" s="1" t="s">
        <v>69</v>
      </c>
      <c r="D98" s="1" t="s">
        <v>6</v>
      </c>
      <c r="E98" s="1" t="s">
        <v>403</v>
      </c>
      <c r="F98" s="1" t="s">
        <v>22</v>
      </c>
      <c r="G98" s="63">
        <v>3164.8</v>
      </c>
      <c r="H98" s="84">
        <v>3164.8</v>
      </c>
      <c r="I98" s="63">
        <f t="shared" si="29"/>
        <v>100</v>
      </c>
    </row>
    <row r="99" spans="1:9" ht="24" x14ac:dyDescent="0.2">
      <c r="A99" s="2" t="s">
        <v>404</v>
      </c>
      <c r="B99" s="1" t="s">
        <v>189</v>
      </c>
      <c r="C99" s="1" t="s">
        <v>69</v>
      </c>
      <c r="D99" s="1" t="s">
        <v>6</v>
      </c>
      <c r="E99" s="1" t="s">
        <v>405</v>
      </c>
      <c r="F99" s="1"/>
      <c r="G99" s="63">
        <f>G100</f>
        <v>165.2</v>
      </c>
      <c r="H99" s="63">
        <f t="shared" ref="H99" si="41">H100</f>
        <v>165.2</v>
      </c>
      <c r="I99" s="63">
        <f t="shared" si="29"/>
        <v>100</v>
      </c>
    </row>
    <row r="100" spans="1:9" ht="24" x14ac:dyDescent="0.2">
      <c r="A100" s="2" t="s">
        <v>25</v>
      </c>
      <c r="B100" s="1" t="s">
        <v>189</v>
      </c>
      <c r="C100" s="1" t="s">
        <v>69</v>
      </c>
      <c r="D100" s="1" t="s">
        <v>6</v>
      </c>
      <c r="E100" s="1" t="s">
        <v>405</v>
      </c>
      <c r="F100" s="1" t="s">
        <v>22</v>
      </c>
      <c r="G100" s="63">
        <v>165.2</v>
      </c>
      <c r="H100" s="84">
        <v>165.2</v>
      </c>
      <c r="I100" s="63">
        <f t="shared" si="29"/>
        <v>100</v>
      </c>
    </row>
    <row r="101" spans="1:9" ht="12.75" x14ac:dyDescent="0.2">
      <c r="A101" s="2" t="s">
        <v>73</v>
      </c>
      <c r="B101" s="1" t="s">
        <v>189</v>
      </c>
      <c r="C101" s="1" t="s">
        <v>69</v>
      </c>
      <c r="D101" s="1" t="s">
        <v>69</v>
      </c>
      <c r="E101" s="1"/>
      <c r="F101" s="1"/>
      <c r="G101" s="63">
        <f>G102</f>
        <v>1254.3439999999998</v>
      </c>
      <c r="H101" s="63">
        <f t="shared" ref="H101" si="42">H102</f>
        <v>1254.3371999999997</v>
      </c>
      <c r="I101" s="63">
        <f t="shared" si="29"/>
        <v>99.999457883961654</v>
      </c>
    </row>
    <row r="102" spans="1:9" ht="24" x14ac:dyDescent="0.2">
      <c r="A102" s="2" t="s">
        <v>393</v>
      </c>
      <c r="B102" s="1" t="s">
        <v>189</v>
      </c>
      <c r="C102" s="1" t="s">
        <v>69</v>
      </c>
      <c r="D102" s="1" t="s">
        <v>69</v>
      </c>
      <c r="E102" s="1" t="s">
        <v>324</v>
      </c>
      <c r="F102" s="1"/>
      <c r="G102" s="63">
        <f>G103</f>
        <v>1254.3439999999998</v>
      </c>
      <c r="H102" s="63">
        <f t="shared" ref="H102" si="43">H103</f>
        <v>1254.3371999999997</v>
      </c>
      <c r="I102" s="63">
        <f t="shared" si="29"/>
        <v>99.999457883961654</v>
      </c>
    </row>
    <row r="103" spans="1:9" ht="36.75" customHeight="1" x14ac:dyDescent="0.2">
      <c r="A103" s="2" t="s">
        <v>261</v>
      </c>
      <c r="B103" s="1" t="s">
        <v>189</v>
      </c>
      <c r="C103" s="1" t="s">
        <v>69</v>
      </c>
      <c r="D103" s="1" t="s">
        <v>69</v>
      </c>
      <c r="E103" s="1" t="s">
        <v>309</v>
      </c>
      <c r="F103" s="1"/>
      <c r="G103" s="85">
        <f t="shared" ref="G103:H103" si="44">G104</f>
        <v>1254.3439999999998</v>
      </c>
      <c r="H103" s="85">
        <f t="shared" si="44"/>
        <v>1254.3371999999997</v>
      </c>
      <c r="I103" s="63">
        <f t="shared" si="29"/>
        <v>99.999457883961654</v>
      </c>
    </row>
    <row r="104" spans="1:9" ht="24" x14ac:dyDescent="0.2">
      <c r="A104" s="2" t="s">
        <v>264</v>
      </c>
      <c r="B104" s="1" t="s">
        <v>189</v>
      </c>
      <c r="C104" s="1" t="s">
        <v>69</v>
      </c>
      <c r="D104" s="1" t="s">
        <v>69</v>
      </c>
      <c r="E104" s="1" t="s">
        <v>312</v>
      </c>
      <c r="F104" s="1"/>
      <c r="G104" s="85">
        <f>G107+G105</f>
        <v>1254.3439999999998</v>
      </c>
      <c r="H104" s="85">
        <f t="shared" ref="H104" si="45">H107+H105</f>
        <v>1254.3371999999997</v>
      </c>
      <c r="I104" s="63">
        <f t="shared" si="29"/>
        <v>99.999457883961654</v>
      </c>
    </row>
    <row r="105" spans="1:9" ht="14.25" customHeight="1" x14ac:dyDescent="0.2">
      <c r="A105" s="5" t="s">
        <v>557</v>
      </c>
      <c r="B105" s="1" t="s">
        <v>189</v>
      </c>
      <c r="C105" s="1" t="s">
        <v>69</v>
      </c>
      <c r="D105" s="1" t="s">
        <v>69</v>
      </c>
      <c r="E105" s="1" t="s">
        <v>556</v>
      </c>
      <c r="F105" s="1"/>
      <c r="G105" s="85">
        <f>G106</f>
        <v>100</v>
      </c>
      <c r="H105" s="85">
        <f t="shared" ref="H105" si="46">H106</f>
        <v>100</v>
      </c>
      <c r="I105" s="63">
        <f t="shared" si="29"/>
        <v>100</v>
      </c>
    </row>
    <row r="106" spans="1:9" ht="24" x14ac:dyDescent="0.2">
      <c r="A106" s="2" t="s">
        <v>25</v>
      </c>
      <c r="B106" s="1" t="s">
        <v>189</v>
      </c>
      <c r="C106" s="1" t="s">
        <v>69</v>
      </c>
      <c r="D106" s="1" t="s">
        <v>69</v>
      </c>
      <c r="E106" s="1" t="s">
        <v>556</v>
      </c>
      <c r="F106" s="1" t="s">
        <v>22</v>
      </c>
      <c r="G106" s="85">
        <v>100</v>
      </c>
      <c r="H106" s="85">
        <f>99.9932+0.0068</f>
        <v>100</v>
      </c>
      <c r="I106" s="63">
        <f t="shared" si="29"/>
        <v>100</v>
      </c>
    </row>
    <row r="107" spans="1:9" ht="36" x14ac:dyDescent="0.2">
      <c r="A107" s="2" t="s">
        <v>251</v>
      </c>
      <c r="B107" s="1" t="s">
        <v>189</v>
      </c>
      <c r="C107" s="1" t="s">
        <v>69</v>
      </c>
      <c r="D107" s="1" t="s">
        <v>69</v>
      </c>
      <c r="E107" s="1" t="s">
        <v>313</v>
      </c>
      <c r="F107" s="1"/>
      <c r="G107" s="85">
        <f t="shared" ref="G107:H107" si="47">G109+G108</f>
        <v>1154.3439999999998</v>
      </c>
      <c r="H107" s="85">
        <f t="shared" si="47"/>
        <v>1154.3371999999997</v>
      </c>
      <c r="I107" s="63">
        <f t="shared" si="29"/>
        <v>99.999410920834691</v>
      </c>
    </row>
    <row r="108" spans="1:9" ht="12.75" x14ac:dyDescent="0.2">
      <c r="A108" s="5" t="s">
        <v>38</v>
      </c>
      <c r="B108" s="1" t="s">
        <v>189</v>
      </c>
      <c r="C108" s="1" t="s">
        <v>69</v>
      </c>
      <c r="D108" s="1" t="s">
        <v>69</v>
      </c>
      <c r="E108" s="1" t="s">
        <v>313</v>
      </c>
      <c r="F108" s="1" t="s">
        <v>36</v>
      </c>
      <c r="G108" s="85">
        <v>46.627200000000002</v>
      </c>
      <c r="H108" s="85">
        <v>46.627200000000002</v>
      </c>
      <c r="I108" s="63">
        <f t="shared" si="29"/>
        <v>100</v>
      </c>
    </row>
    <row r="109" spans="1:9" ht="22.5" customHeight="1" x14ac:dyDescent="0.2">
      <c r="A109" s="2" t="s">
        <v>25</v>
      </c>
      <c r="B109" s="1" t="s">
        <v>189</v>
      </c>
      <c r="C109" s="1" t="s">
        <v>69</v>
      </c>
      <c r="D109" s="1" t="s">
        <v>69</v>
      </c>
      <c r="E109" s="1" t="s">
        <v>313</v>
      </c>
      <c r="F109" s="1" t="s">
        <v>22</v>
      </c>
      <c r="G109" s="85">
        <v>1107.7167999999999</v>
      </c>
      <c r="H109" s="85">
        <f>1107.7168-0.0068</f>
        <v>1107.7099999999998</v>
      </c>
      <c r="I109" s="63">
        <f t="shared" si="29"/>
        <v>99.999386124684563</v>
      </c>
    </row>
    <row r="110" spans="1:9" ht="12.75" x14ac:dyDescent="0.2">
      <c r="A110" s="2" t="s">
        <v>72</v>
      </c>
      <c r="B110" s="1" t="s">
        <v>189</v>
      </c>
      <c r="C110" s="1" t="s">
        <v>69</v>
      </c>
      <c r="D110" s="1" t="s">
        <v>59</v>
      </c>
      <c r="E110" s="1"/>
      <c r="F110" s="1"/>
      <c r="G110" s="63">
        <f>G111</f>
        <v>19790.815999999999</v>
      </c>
      <c r="H110" s="63">
        <f t="shared" ref="H110" si="48">H111</f>
        <v>19781.584999999999</v>
      </c>
      <c r="I110" s="63">
        <f t="shared" si="29"/>
        <v>99.953357153136082</v>
      </c>
    </row>
    <row r="111" spans="1:9" ht="22.5" customHeight="1" x14ac:dyDescent="0.2">
      <c r="A111" s="2" t="s">
        <v>393</v>
      </c>
      <c r="B111" s="1" t="s">
        <v>189</v>
      </c>
      <c r="C111" s="1" t="s">
        <v>69</v>
      </c>
      <c r="D111" s="1" t="s">
        <v>59</v>
      </c>
      <c r="E111" s="1" t="s">
        <v>324</v>
      </c>
      <c r="F111" s="1"/>
      <c r="G111" s="63">
        <f>G120+G112</f>
        <v>19790.815999999999</v>
      </c>
      <c r="H111" s="63">
        <f>H120+H112</f>
        <v>19781.584999999999</v>
      </c>
      <c r="I111" s="63">
        <f t="shared" si="29"/>
        <v>99.953357153136082</v>
      </c>
    </row>
    <row r="112" spans="1:9" ht="48" x14ac:dyDescent="0.2">
      <c r="A112" s="2" t="s">
        <v>425</v>
      </c>
      <c r="B112" s="1" t="s">
        <v>189</v>
      </c>
      <c r="C112" s="1" t="s">
        <v>69</v>
      </c>
      <c r="D112" s="1" t="s">
        <v>59</v>
      </c>
      <c r="E112" s="1" t="s">
        <v>491</v>
      </c>
      <c r="F112" s="1"/>
      <c r="G112" s="63">
        <f>G113+G118</f>
        <v>3978.8510000000001</v>
      </c>
      <c r="H112" s="63">
        <f>H113+H118</f>
        <v>3969.6840000000002</v>
      </c>
      <c r="I112" s="63">
        <f t="shared" si="29"/>
        <v>99.769606853837956</v>
      </c>
    </row>
    <row r="113" spans="1:9" ht="24" x14ac:dyDescent="0.2">
      <c r="A113" s="2" t="s">
        <v>426</v>
      </c>
      <c r="B113" s="1" t="s">
        <v>189</v>
      </c>
      <c r="C113" s="1" t="s">
        <v>69</v>
      </c>
      <c r="D113" s="1" t="s">
        <v>59</v>
      </c>
      <c r="E113" s="1" t="s">
        <v>492</v>
      </c>
      <c r="F113" s="1"/>
      <c r="G113" s="63">
        <f>G114+G116</f>
        <v>3388.6210000000001</v>
      </c>
      <c r="H113" s="63">
        <f t="shared" ref="H113" si="49">H114+H116</f>
        <v>3379.4540000000002</v>
      </c>
      <c r="I113" s="63">
        <f t="shared" si="29"/>
        <v>99.729476976032444</v>
      </c>
    </row>
    <row r="114" spans="1:9" ht="24" x14ac:dyDescent="0.2">
      <c r="A114" s="2" t="s">
        <v>71</v>
      </c>
      <c r="B114" s="1" t="s">
        <v>189</v>
      </c>
      <c r="C114" s="1" t="s">
        <v>69</v>
      </c>
      <c r="D114" s="1" t="s">
        <v>59</v>
      </c>
      <c r="E114" s="1" t="s">
        <v>493</v>
      </c>
      <c r="F114" s="1"/>
      <c r="G114" s="63">
        <f t="shared" ref="G114:H114" si="50">G115</f>
        <v>3385.873</v>
      </c>
      <c r="H114" s="63">
        <f t="shared" si="50"/>
        <v>3376.7060000000001</v>
      </c>
      <c r="I114" s="63">
        <f t="shared" si="29"/>
        <v>99.729257417510937</v>
      </c>
    </row>
    <row r="115" spans="1:9" ht="48" x14ac:dyDescent="0.2">
      <c r="A115" s="2" t="s">
        <v>32</v>
      </c>
      <c r="B115" s="1" t="s">
        <v>189</v>
      </c>
      <c r="C115" s="1" t="s">
        <v>69</v>
      </c>
      <c r="D115" s="1" t="s">
        <v>59</v>
      </c>
      <c r="E115" s="1" t="s">
        <v>493</v>
      </c>
      <c r="F115" s="1" t="s">
        <v>29</v>
      </c>
      <c r="G115" s="63">
        <v>3385.873</v>
      </c>
      <c r="H115" s="63">
        <f>2520.387+38.085+818.234</f>
        <v>3376.7060000000001</v>
      </c>
      <c r="I115" s="63">
        <f t="shared" si="29"/>
        <v>99.729257417510937</v>
      </c>
    </row>
    <row r="116" spans="1:9" ht="24" x14ac:dyDescent="0.2">
      <c r="A116" s="5" t="s">
        <v>449</v>
      </c>
      <c r="B116" s="1" t="s">
        <v>189</v>
      </c>
      <c r="C116" s="1" t="s">
        <v>69</v>
      </c>
      <c r="D116" s="1" t="s">
        <v>59</v>
      </c>
      <c r="E116" s="1" t="s">
        <v>494</v>
      </c>
      <c r="F116" s="1"/>
      <c r="G116" s="86">
        <f>G117</f>
        <v>2.7480000000000002</v>
      </c>
      <c r="H116" s="86">
        <f t="shared" ref="H116" si="51">H117</f>
        <v>2.7480000000000002</v>
      </c>
      <c r="I116" s="63">
        <f t="shared" si="29"/>
        <v>100</v>
      </c>
    </row>
    <row r="117" spans="1:9" ht="24" x14ac:dyDescent="0.2">
      <c r="A117" s="2" t="s">
        <v>40</v>
      </c>
      <c r="B117" s="1" t="s">
        <v>189</v>
      </c>
      <c r="C117" s="1" t="s">
        <v>69</v>
      </c>
      <c r="D117" s="1" t="s">
        <v>59</v>
      </c>
      <c r="E117" s="1" t="s">
        <v>494</v>
      </c>
      <c r="F117" s="1" t="s">
        <v>44</v>
      </c>
      <c r="G117" s="63">
        <v>2.7480000000000002</v>
      </c>
      <c r="H117" s="63">
        <f>2.748</f>
        <v>2.7480000000000002</v>
      </c>
      <c r="I117" s="63">
        <f t="shared" si="29"/>
        <v>100</v>
      </c>
    </row>
    <row r="118" spans="1:9" ht="12.75" x14ac:dyDescent="0.2">
      <c r="A118" s="2" t="s">
        <v>358</v>
      </c>
      <c r="B118" s="1" t="s">
        <v>189</v>
      </c>
      <c r="C118" s="1" t="s">
        <v>69</v>
      </c>
      <c r="D118" s="1" t="s">
        <v>59</v>
      </c>
      <c r="E118" s="1" t="s">
        <v>495</v>
      </c>
      <c r="F118" s="1"/>
      <c r="G118" s="63">
        <f t="shared" ref="G118:H118" si="52">G119</f>
        <v>590.23</v>
      </c>
      <c r="H118" s="63">
        <f t="shared" si="52"/>
        <v>590.23</v>
      </c>
      <c r="I118" s="63">
        <f t="shared" si="29"/>
        <v>100</v>
      </c>
    </row>
    <row r="119" spans="1:9" ht="48" x14ac:dyDescent="0.2">
      <c r="A119" s="2" t="s">
        <v>32</v>
      </c>
      <c r="B119" s="1" t="s">
        <v>189</v>
      </c>
      <c r="C119" s="1" t="s">
        <v>69</v>
      </c>
      <c r="D119" s="1" t="s">
        <v>59</v>
      </c>
      <c r="E119" s="1" t="s">
        <v>495</v>
      </c>
      <c r="F119" s="1" t="s">
        <v>29</v>
      </c>
      <c r="G119" s="63">
        <f>453.326+136.904</f>
        <v>590.23</v>
      </c>
      <c r="H119" s="63">
        <f>453.326+136.904</f>
        <v>590.23</v>
      </c>
      <c r="I119" s="63">
        <f t="shared" si="29"/>
        <v>100</v>
      </c>
    </row>
    <row r="120" spans="1:9" ht="72" x14ac:dyDescent="0.2">
      <c r="A120" s="2" t="s">
        <v>486</v>
      </c>
      <c r="B120" s="1" t="s">
        <v>189</v>
      </c>
      <c r="C120" s="1" t="s">
        <v>69</v>
      </c>
      <c r="D120" s="1" t="s">
        <v>59</v>
      </c>
      <c r="E120" s="1" t="s">
        <v>314</v>
      </c>
      <c r="F120" s="1"/>
      <c r="G120" s="63">
        <f>G121+G129+G131+G127+G133</f>
        <v>15811.965</v>
      </c>
      <c r="H120" s="63">
        <f>H121+H129+H131+H127+H133</f>
        <v>15811.900999999998</v>
      </c>
      <c r="I120" s="63">
        <f t="shared" si="29"/>
        <v>99.999595243222444</v>
      </c>
    </row>
    <row r="121" spans="1:9" ht="37.5" customHeight="1" x14ac:dyDescent="0.2">
      <c r="A121" s="2" t="s">
        <v>487</v>
      </c>
      <c r="B121" s="1" t="s">
        <v>189</v>
      </c>
      <c r="C121" s="1" t="s">
        <v>69</v>
      </c>
      <c r="D121" s="1" t="s">
        <v>59</v>
      </c>
      <c r="E121" s="1" t="s">
        <v>315</v>
      </c>
      <c r="F121" s="1"/>
      <c r="G121" s="63">
        <f>G122+G124</f>
        <v>7887.0079999999998</v>
      </c>
      <c r="H121" s="63">
        <f>H122+H124</f>
        <v>7886.9439999999995</v>
      </c>
      <c r="I121" s="63">
        <f t="shared" si="29"/>
        <v>99.999188538923761</v>
      </c>
    </row>
    <row r="122" spans="1:9" ht="36" x14ac:dyDescent="0.2">
      <c r="A122" s="2" t="s">
        <v>488</v>
      </c>
      <c r="B122" s="1" t="s">
        <v>189</v>
      </c>
      <c r="C122" s="1" t="s">
        <v>69</v>
      </c>
      <c r="D122" s="1" t="s">
        <v>59</v>
      </c>
      <c r="E122" s="1" t="s">
        <v>316</v>
      </c>
      <c r="F122" s="1"/>
      <c r="G122" s="63">
        <f>G123</f>
        <v>4839.2780000000002</v>
      </c>
      <c r="H122" s="63">
        <f t="shared" ref="H122" si="53">H123</f>
        <v>4839.2139999999999</v>
      </c>
      <c r="I122" s="63">
        <f t="shared" si="29"/>
        <v>99.998677488666686</v>
      </c>
    </row>
    <row r="123" spans="1:9" ht="48" x14ac:dyDescent="0.2">
      <c r="A123" s="2" t="s">
        <v>32</v>
      </c>
      <c r="B123" s="1" t="s">
        <v>189</v>
      </c>
      <c r="C123" s="1" t="s">
        <v>69</v>
      </c>
      <c r="D123" s="1" t="s">
        <v>59</v>
      </c>
      <c r="E123" s="1" t="s">
        <v>316</v>
      </c>
      <c r="F123" s="1" t="s">
        <v>29</v>
      </c>
      <c r="G123" s="63">
        <v>4839.2780000000002</v>
      </c>
      <c r="H123" s="63">
        <f>3707.356+12.236+1119.622</f>
        <v>4839.2139999999999</v>
      </c>
      <c r="I123" s="63">
        <f t="shared" si="29"/>
        <v>99.998677488666686</v>
      </c>
    </row>
    <row r="124" spans="1:9" ht="36" x14ac:dyDescent="0.2">
      <c r="A124" s="2" t="s">
        <v>489</v>
      </c>
      <c r="B124" s="1" t="s">
        <v>189</v>
      </c>
      <c r="C124" s="1" t="s">
        <v>69</v>
      </c>
      <c r="D124" s="1" t="s">
        <v>59</v>
      </c>
      <c r="E124" s="1" t="s">
        <v>317</v>
      </c>
      <c r="F124" s="1"/>
      <c r="G124" s="63">
        <f>G125+G126</f>
        <v>3047.73</v>
      </c>
      <c r="H124" s="63">
        <f t="shared" ref="H124" si="54">H125+H126</f>
        <v>3047.73</v>
      </c>
      <c r="I124" s="63">
        <f t="shared" si="29"/>
        <v>100</v>
      </c>
    </row>
    <row r="125" spans="1:9" ht="24" x14ac:dyDescent="0.2">
      <c r="A125" s="2" t="s">
        <v>40</v>
      </c>
      <c r="B125" s="1" t="s">
        <v>189</v>
      </c>
      <c r="C125" s="1" t="s">
        <v>69</v>
      </c>
      <c r="D125" s="1" t="s">
        <v>59</v>
      </c>
      <c r="E125" s="1" t="s">
        <v>317</v>
      </c>
      <c r="F125" s="1" t="s">
        <v>44</v>
      </c>
      <c r="G125" s="63">
        <v>3033.73</v>
      </c>
      <c r="H125" s="63">
        <v>3033.73</v>
      </c>
      <c r="I125" s="63">
        <f t="shared" si="29"/>
        <v>100</v>
      </c>
    </row>
    <row r="126" spans="1:9" ht="24" x14ac:dyDescent="0.2">
      <c r="A126" s="5" t="s">
        <v>64</v>
      </c>
      <c r="B126" s="1" t="s">
        <v>189</v>
      </c>
      <c r="C126" s="1" t="s">
        <v>69</v>
      </c>
      <c r="D126" s="1" t="s">
        <v>59</v>
      </c>
      <c r="E126" s="1" t="s">
        <v>317</v>
      </c>
      <c r="F126" s="1" t="s">
        <v>70</v>
      </c>
      <c r="G126" s="63">
        <v>14</v>
      </c>
      <c r="H126" s="63">
        <v>14</v>
      </c>
      <c r="I126" s="63">
        <f t="shared" si="29"/>
        <v>100</v>
      </c>
    </row>
    <row r="127" spans="1:9" ht="24" x14ac:dyDescent="0.2">
      <c r="A127" s="5" t="s">
        <v>459</v>
      </c>
      <c r="B127" s="1" t="s">
        <v>189</v>
      </c>
      <c r="C127" s="1" t="s">
        <v>69</v>
      </c>
      <c r="D127" s="1" t="s">
        <v>59</v>
      </c>
      <c r="E127" s="1" t="s">
        <v>469</v>
      </c>
      <c r="F127" s="1"/>
      <c r="G127" s="63">
        <f>G128</f>
        <v>11.03</v>
      </c>
      <c r="H127" s="63">
        <f t="shared" ref="H127" si="55">H128</f>
        <v>11.03</v>
      </c>
      <c r="I127" s="63">
        <f t="shared" si="29"/>
        <v>100</v>
      </c>
    </row>
    <row r="128" spans="1:9" ht="24" x14ac:dyDescent="0.2">
      <c r="A128" s="2" t="s">
        <v>40</v>
      </c>
      <c r="B128" s="1" t="s">
        <v>189</v>
      </c>
      <c r="C128" s="1" t="s">
        <v>69</v>
      </c>
      <c r="D128" s="1" t="s">
        <v>59</v>
      </c>
      <c r="E128" s="1" t="s">
        <v>469</v>
      </c>
      <c r="F128" s="1" t="s">
        <v>44</v>
      </c>
      <c r="G128" s="63">
        <v>11.03</v>
      </c>
      <c r="H128" s="63">
        <v>11.03</v>
      </c>
      <c r="I128" s="63">
        <f t="shared" si="29"/>
        <v>100</v>
      </c>
    </row>
    <row r="129" spans="1:12" ht="132" x14ac:dyDescent="0.2">
      <c r="A129" s="2" t="s">
        <v>490</v>
      </c>
      <c r="B129" s="1" t="s">
        <v>189</v>
      </c>
      <c r="C129" s="1" t="s">
        <v>69</v>
      </c>
      <c r="D129" s="1" t="s">
        <v>59</v>
      </c>
      <c r="E129" s="1" t="s">
        <v>318</v>
      </c>
      <c r="F129" s="1"/>
      <c r="G129" s="63">
        <f t="shared" ref="G129:H129" si="56">G130</f>
        <v>5689.7269999999999</v>
      </c>
      <c r="H129" s="63">
        <f t="shared" si="56"/>
        <v>5689.7269999999999</v>
      </c>
      <c r="I129" s="63">
        <f t="shared" si="29"/>
        <v>100</v>
      </c>
    </row>
    <row r="130" spans="1:12" ht="48" x14ac:dyDescent="0.2">
      <c r="A130" s="2" t="s">
        <v>32</v>
      </c>
      <c r="B130" s="1" t="s">
        <v>189</v>
      </c>
      <c r="C130" s="1" t="s">
        <v>69</v>
      </c>
      <c r="D130" s="1" t="s">
        <v>59</v>
      </c>
      <c r="E130" s="1" t="s">
        <v>318</v>
      </c>
      <c r="F130" s="1" t="s">
        <v>29</v>
      </c>
      <c r="G130" s="63">
        <v>5689.7269999999999</v>
      </c>
      <c r="H130" s="63">
        <f>4369.987+1319.74</f>
        <v>5689.7269999999999</v>
      </c>
      <c r="I130" s="63">
        <f t="shared" si="29"/>
        <v>100</v>
      </c>
      <c r="J130" s="58"/>
      <c r="K130" s="58"/>
      <c r="L130" s="58"/>
    </row>
    <row r="131" spans="1:12" ht="12.75" x14ac:dyDescent="0.2">
      <c r="A131" s="2" t="s">
        <v>358</v>
      </c>
      <c r="B131" s="1" t="s">
        <v>189</v>
      </c>
      <c r="C131" s="1" t="s">
        <v>69</v>
      </c>
      <c r="D131" s="1" t="s">
        <v>59</v>
      </c>
      <c r="E131" s="1" t="s">
        <v>371</v>
      </c>
      <c r="F131" s="1"/>
      <c r="G131" s="63">
        <f t="shared" ref="G131:H133" si="57">G132</f>
        <v>2019.23</v>
      </c>
      <c r="H131" s="63">
        <f t="shared" si="57"/>
        <v>2019.23</v>
      </c>
      <c r="I131" s="63">
        <f t="shared" si="29"/>
        <v>100</v>
      </c>
    </row>
    <row r="132" spans="1:12" ht="48" x14ac:dyDescent="0.2">
      <c r="A132" s="2" t="s">
        <v>32</v>
      </c>
      <c r="B132" s="1" t="s">
        <v>189</v>
      </c>
      <c r="C132" s="1" t="s">
        <v>69</v>
      </c>
      <c r="D132" s="1" t="s">
        <v>59</v>
      </c>
      <c r="E132" s="1" t="s">
        <v>371</v>
      </c>
      <c r="F132" s="1" t="s">
        <v>29</v>
      </c>
      <c r="G132" s="63">
        <v>2019.23</v>
      </c>
      <c r="H132" s="63">
        <f>1550.868+468.362</f>
        <v>2019.23</v>
      </c>
      <c r="I132" s="63">
        <f t="shared" si="29"/>
        <v>100</v>
      </c>
    </row>
    <row r="133" spans="1:12" ht="48" x14ac:dyDescent="0.2">
      <c r="A133" s="2" t="s">
        <v>548</v>
      </c>
      <c r="B133" s="1" t="s">
        <v>189</v>
      </c>
      <c r="C133" s="1" t="s">
        <v>69</v>
      </c>
      <c r="D133" s="1" t="s">
        <v>59</v>
      </c>
      <c r="E133" s="1" t="s">
        <v>547</v>
      </c>
      <c r="F133" s="1"/>
      <c r="G133" s="63">
        <f t="shared" si="57"/>
        <v>204.97</v>
      </c>
      <c r="H133" s="63">
        <f t="shared" si="57"/>
        <v>204.97</v>
      </c>
      <c r="I133" s="63">
        <f t="shared" si="29"/>
        <v>100</v>
      </c>
    </row>
    <row r="134" spans="1:12" ht="24" x14ac:dyDescent="0.2">
      <c r="A134" s="2" t="s">
        <v>40</v>
      </c>
      <c r="B134" s="1" t="s">
        <v>189</v>
      </c>
      <c r="C134" s="1" t="s">
        <v>69</v>
      </c>
      <c r="D134" s="1" t="s">
        <v>59</v>
      </c>
      <c r="E134" s="1" t="s">
        <v>547</v>
      </c>
      <c r="F134" s="1" t="s">
        <v>44</v>
      </c>
      <c r="G134" s="63">
        <v>204.97</v>
      </c>
      <c r="H134" s="63">
        <v>204.97</v>
      </c>
      <c r="I134" s="63">
        <f t="shared" si="29"/>
        <v>100</v>
      </c>
    </row>
    <row r="135" spans="1:12" ht="12.75" x14ac:dyDescent="0.2">
      <c r="A135" s="2" t="s">
        <v>58</v>
      </c>
      <c r="B135" s="1" t="s">
        <v>189</v>
      </c>
      <c r="C135" s="1" t="s">
        <v>47</v>
      </c>
      <c r="D135" s="1"/>
      <c r="E135" s="1"/>
      <c r="F135" s="1"/>
      <c r="G135" s="63">
        <f t="shared" ref="G135:H136" si="58">G136</f>
        <v>2443.1</v>
      </c>
      <c r="H135" s="63">
        <f t="shared" si="58"/>
        <v>2436.6363199999996</v>
      </c>
      <c r="I135" s="63">
        <f t="shared" si="29"/>
        <v>99.735431214440666</v>
      </c>
    </row>
    <row r="136" spans="1:12" ht="12.75" x14ac:dyDescent="0.2">
      <c r="A136" s="2" t="s">
        <v>54</v>
      </c>
      <c r="B136" s="1" t="s">
        <v>189</v>
      </c>
      <c r="C136" s="1" t="s">
        <v>47</v>
      </c>
      <c r="D136" s="1" t="s">
        <v>52</v>
      </c>
      <c r="E136" s="1"/>
      <c r="F136" s="1"/>
      <c r="G136" s="63">
        <f>G137</f>
        <v>2443.1</v>
      </c>
      <c r="H136" s="63">
        <f t="shared" si="58"/>
        <v>2436.6363199999996</v>
      </c>
      <c r="I136" s="63">
        <f t="shared" si="29"/>
        <v>99.735431214440666</v>
      </c>
    </row>
    <row r="137" spans="1:12" ht="24" x14ac:dyDescent="0.2">
      <c r="A137" s="2" t="s">
        <v>393</v>
      </c>
      <c r="B137" s="1" t="s">
        <v>189</v>
      </c>
      <c r="C137" s="1" t="s">
        <v>47</v>
      </c>
      <c r="D137" s="1" t="s">
        <v>52</v>
      </c>
      <c r="E137" s="1" t="s">
        <v>324</v>
      </c>
      <c r="F137" s="1"/>
      <c r="G137" s="63">
        <f>G138</f>
        <v>2443.1</v>
      </c>
      <c r="H137" s="63">
        <f t="shared" ref="H137" si="59">H138</f>
        <v>2436.6363199999996</v>
      </c>
      <c r="I137" s="63">
        <f t="shared" si="29"/>
        <v>99.735431214440666</v>
      </c>
    </row>
    <row r="138" spans="1:12" ht="36" x14ac:dyDescent="0.2">
      <c r="A138" s="2" t="s">
        <v>258</v>
      </c>
      <c r="B138" s="1" t="s">
        <v>189</v>
      </c>
      <c r="C138" s="1" t="s">
        <v>47</v>
      </c>
      <c r="D138" s="1" t="s">
        <v>52</v>
      </c>
      <c r="E138" s="1" t="s">
        <v>303</v>
      </c>
      <c r="F138" s="1"/>
      <c r="G138" s="63">
        <f t="shared" ref="G138:H139" si="60">G139</f>
        <v>2443.1</v>
      </c>
      <c r="H138" s="63">
        <f t="shared" si="60"/>
        <v>2436.6363199999996</v>
      </c>
      <c r="I138" s="63">
        <f t="shared" si="29"/>
        <v>99.735431214440666</v>
      </c>
    </row>
    <row r="139" spans="1:12" ht="39" customHeight="1" x14ac:dyDescent="0.2">
      <c r="A139" s="2" t="s">
        <v>259</v>
      </c>
      <c r="B139" s="1" t="s">
        <v>189</v>
      </c>
      <c r="C139" s="1" t="s">
        <v>47</v>
      </c>
      <c r="D139" s="1" t="s">
        <v>52</v>
      </c>
      <c r="E139" s="1" t="s">
        <v>302</v>
      </c>
      <c r="F139" s="1"/>
      <c r="G139" s="63">
        <f t="shared" si="60"/>
        <v>2443.1</v>
      </c>
      <c r="H139" s="63">
        <f t="shared" si="60"/>
        <v>2436.6363199999996</v>
      </c>
      <c r="I139" s="63">
        <f t="shared" ref="I139:I190" si="61">H139/G139*100</f>
        <v>99.735431214440666</v>
      </c>
    </row>
    <row r="140" spans="1:12" ht="48" x14ac:dyDescent="0.2">
      <c r="A140" s="2" t="s">
        <v>252</v>
      </c>
      <c r="B140" s="1" t="s">
        <v>189</v>
      </c>
      <c r="C140" s="1" t="s">
        <v>47</v>
      </c>
      <c r="D140" s="1" t="s">
        <v>52</v>
      </c>
      <c r="E140" s="1" t="s">
        <v>319</v>
      </c>
      <c r="F140" s="1"/>
      <c r="G140" s="63">
        <f t="shared" ref="G140:H140" si="62">G142+G141</f>
        <v>2443.1</v>
      </c>
      <c r="H140" s="63">
        <f t="shared" si="62"/>
        <v>2436.6363199999996</v>
      </c>
      <c r="I140" s="63">
        <f t="shared" si="61"/>
        <v>99.735431214440666</v>
      </c>
    </row>
    <row r="141" spans="1:12" ht="24" x14ac:dyDescent="0.2">
      <c r="A141" s="2" t="s">
        <v>40</v>
      </c>
      <c r="B141" s="1" t="s">
        <v>189</v>
      </c>
      <c r="C141" s="1" t="s">
        <v>47</v>
      </c>
      <c r="D141" s="1" t="s">
        <v>52</v>
      </c>
      <c r="E141" s="1" t="s">
        <v>319</v>
      </c>
      <c r="F141" s="1" t="s">
        <v>44</v>
      </c>
      <c r="G141" s="63">
        <v>13.4</v>
      </c>
      <c r="H141" s="63">
        <v>6.9363200000000003</v>
      </c>
      <c r="I141" s="63">
        <f t="shared" si="61"/>
        <v>51.763582089552237</v>
      </c>
    </row>
    <row r="142" spans="1:12" ht="12.75" x14ac:dyDescent="0.2">
      <c r="A142" s="2" t="s">
        <v>38</v>
      </c>
      <c r="B142" s="1" t="s">
        <v>189</v>
      </c>
      <c r="C142" s="1" t="s">
        <v>47</v>
      </c>
      <c r="D142" s="1" t="s">
        <v>52</v>
      </c>
      <c r="E142" s="1" t="s">
        <v>319</v>
      </c>
      <c r="F142" s="1" t="s">
        <v>36</v>
      </c>
      <c r="G142" s="63">
        <v>2429.6999999999998</v>
      </c>
      <c r="H142" s="63">
        <v>2429.6999999999998</v>
      </c>
      <c r="I142" s="63">
        <f t="shared" si="61"/>
        <v>100</v>
      </c>
    </row>
    <row r="143" spans="1:12" ht="24" x14ac:dyDescent="0.2">
      <c r="A143" s="34" t="s">
        <v>447</v>
      </c>
      <c r="B143" s="3" t="s">
        <v>187</v>
      </c>
      <c r="C143" s="3"/>
      <c r="D143" s="3"/>
      <c r="E143" s="3"/>
      <c r="F143" s="1"/>
      <c r="G143" s="62">
        <f>G144+G155+G162</f>
        <v>60882.873569999996</v>
      </c>
      <c r="H143" s="62">
        <f>H144+H155+H162</f>
        <v>60878.406589999999</v>
      </c>
      <c r="I143" s="62">
        <f t="shared" si="61"/>
        <v>99.992662994142577</v>
      </c>
    </row>
    <row r="144" spans="1:12" ht="12.75" x14ac:dyDescent="0.2">
      <c r="A144" s="2" t="s">
        <v>188</v>
      </c>
      <c r="B144" s="1" t="s">
        <v>187</v>
      </c>
      <c r="C144" s="1" t="s">
        <v>12</v>
      </c>
      <c r="D144" s="1"/>
      <c r="E144" s="1"/>
      <c r="F144" s="1"/>
      <c r="G144" s="63">
        <f>G145</f>
        <v>6040.5990099999999</v>
      </c>
      <c r="H144" s="63">
        <f>H145</f>
        <v>6036.1320299999998</v>
      </c>
      <c r="I144" s="63">
        <f t="shared" si="61"/>
        <v>99.926050711318453</v>
      </c>
    </row>
    <row r="145" spans="1:9" ht="24" x14ac:dyDescent="0.2">
      <c r="A145" s="2" t="s">
        <v>118</v>
      </c>
      <c r="B145" s="1" t="s">
        <v>187</v>
      </c>
      <c r="C145" s="1" t="s">
        <v>12</v>
      </c>
      <c r="D145" s="1" t="s">
        <v>46</v>
      </c>
      <c r="E145" s="1"/>
      <c r="F145" s="1"/>
      <c r="G145" s="63">
        <f>G146</f>
        <v>6040.5990099999999</v>
      </c>
      <c r="H145" s="63">
        <f t="shared" ref="H145:H146" si="63">H146</f>
        <v>6036.1320299999998</v>
      </c>
      <c r="I145" s="63">
        <f t="shared" si="61"/>
        <v>99.926050711318453</v>
      </c>
    </row>
    <row r="146" spans="1:9" ht="24" x14ac:dyDescent="0.2">
      <c r="A146" s="2" t="s">
        <v>419</v>
      </c>
      <c r="B146" s="1" t="s">
        <v>187</v>
      </c>
      <c r="C146" s="1" t="s">
        <v>12</v>
      </c>
      <c r="D146" s="1" t="s">
        <v>46</v>
      </c>
      <c r="E146" s="1" t="s">
        <v>2</v>
      </c>
      <c r="F146" s="1"/>
      <c r="G146" s="63">
        <f>G147</f>
        <v>6040.5990099999999</v>
      </c>
      <c r="H146" s="63">
        <f t="shared" si="63"/>
        <v>6036.1320299999998</v>
      </c>
      <c r="I146" s="63">
        <f t="shared" si="61"/>
        <v>99.926050711318453</v>
      </c>
    </row>
    <row r="147" spans="1:9" ht="48" x14ac:dyDescent="0.2">
      <c r="A147" s="2" t="s">
        <v>265</v>
      </c>
      <c r="B147" s="1" t="s">
        <v>187</v>
      </c>
      <c r="C147" s="1" t="s">
        <v>12</v>
      </c>
      <c r="D147" s="1" t="s">
        <v>46</v>
      </c>
      <c r="E147" s="1" t="s">
        <v>496</v>
      </c>
      <c r="F147" s="1"/>
      <c r="G147" s="63">
        <f>G148+G153</f>
        <v>6040.5990099999999</v>
      </c>
      <c r="H147" s="63">
        <f>H148+H153</f>
        <v>6036.1320299999998</v>
      </c>
      <c r="I147" s="63">
        <f t="shared" si="61"/>
        <v>99.926050711318453</v>
      </c>
    </row>
    <row r="148" spans="1:9" ht="24" x14ac:dyDescent="0.2">
      <c r="A148" s="2" t="s">
        <v>428</v>
      </c>
      <c r="B148" s="1" t="s">
        <v>187</v>
      </c>
      <c r="C148" s="1" t="s">
        <v>12</v>
      </c>
      <c r="D148" s="1" t="s">
        <v>46</v>
      </c>
      <c r="E148" s="1" t="s">
        <v>497</v>
      </c>
      <c r="F148" s="1"/>
      <c r="G148" s="63">
        <f t="shared" ref="G148:H148" si="64">G149+G151</f>
        <v>5955.1990100000003</v>
      </c>
      <c r="H148" s="63">
        <f t="shared" si="64"/>
        <v>5950.9600300000002</v>
      </c>
      <c r="I148" s="63">
        <f t="shared" si="61"/>
        <v>99.928818835560634</v>
      </c>
    </row>
    <row r="149" spans="1:9" ht="24" x14ac:dyDescent="0.2">
      <c r="A149" s="2" t="s">
        <v>427</v>
      </c>
      <c r="B149" s="1" t="s">
        <v>187</v>
      </c>
      <c r="C149" s="1" t="s">
        <v>12</v>
      </c>
      <c r="D149" s="1" t="s">
        <v>46</v>
      </c>
      <c r="E149" s="1" t="s">
        <v>498</v>
      </c>
      <c r="F149" s="1"/>
      <c r="G149" s="63">
        <f t="shared" ref="G149:H149" si="65">G150</f>
        <v>5045.8256099999999</v>
      </c>
      <c r="H149" s="63">
        <f t="shared" si="65"/>
        <v>5042.1743999999999</v>
      </c>
      <c r="I149" s="63">
        <f t="shared" si="61"/>
        <v>99.927638997416722</v>
      </c>
    </row>
    <row r="150" spans="1:9" ht="48" x14ac:dyDescent="0.2">
      <c r="A150" s="2" t="s">
        <v>32</v>
      </c>
      <c r="B150" s="1" t="s">
        <v>187</v>
      </c>
      <c r="C150" s="1" t="s">
        <v>12</v>
      </c>
      <c r="D150" s="1" t="s">
        <v>46</v>
      </c>
      <c r="E150" s="1" t="s">
        <v>498</v>
      </c>
      <c r="F150" s="1" t="s">
        <v>29</v>
      </c>
      <c r="G150" s="63">
        <v>5045.8256099999999</v>
      </c>
      <c r="H150" s="63">
        <f>3882.06639+2.7+1157.40801</f>
        <v>5042.1743999999999</v>
      </c>
      <c r="I150" s="63">
        <f t="shared" si="61"/>
        <v>99.927638997416722</v>
      </c>
    </row>
    <row r="151" spans="1:9" ht="24" x14ac:dyDescent="0.2">
      <c r="A151" s="2" t="s">
        <v>429</v>
      </c>
      <c r="B151" s="1" t="s">
        <v>187</v>
      </c>
      <c r="C151" s="1" t="s">
        <v>12</v>
      </c>
      <c r="D151" s="1" t="s">
        <v>46</v>
      </c>
      <c r="E151" s="1" t="s">
        <v>499</v>
      </c>
      <c r="F151" s="1"/>
      <c r="G151" s="86">
        <f>G152</f>
        <v>909.37339999999995</v>
      </c>
      <c r="H151" s="86">
        <f>H152</f>
        <v>908.78562999999997</v>
      </c>
      <c r="I151" s="63">
        <f t="shared" si="61"/>
        <v>99.935365384560399</v>
      </c>
    </row>
    <row r="152" spans="1:9" ht="24" x14ac:dyDescent="0.2">
      <c r="A152" s="2" t="s">
        <v>40</v>
      </c>
      <c r="B152" s="1" t="s">
        <v>187</v>
      </c>
      <c r="C152" s="1" t="s">
        <v>12</v>
      </c>
      <c r="D152" s="1" t="s">
        <v>46</v>
      </c>
      <c r="E152" s="1" t="s">
        <v>499</v>
      </c>
      <c r="F152" s="1" t="s">
        <v>44</v>
      </c>
      <c r="G152" s="63">
        <v>909.37339999999995</v>
      </c>
      <c r="H152" s="63">
        <f>908.78563</f>
        <v>908.78562999999997</v>
      </c>
      <c r="I152" s="63">
        <f t="shared" si="61"/>
        <v>99.935365384560399</v>
      </c>
    </row>
    <row r="153" spans="1:9" ht="39" customHeight="1" x14ac:dyDescent="0.2">
      <c r="A153" s="2" t="s">
        <v>548</v>
      </c>
      <c r="B153" s="1" t="s">
        <v>187</v>
      </c>
      <c r="C153" s="1" t="s">
        <v>12</v>
      </c>
      <c r="D153" s="1" t="s">
        <v>46</v>
      </c>
      <c r="E153" s="1" t="s">
        <v>549</v>
      </c>
      <c r="F153" s="1"/>
      <c r="G153" s="63">
        <f t="shared" ref="G153:H153" si="66">G154</f>
        <v>85.4</v>
      </c>
      <c r="H153" s="63">
        <f t="shared" si="66"/>
        <v>85.171999999999997</v>
      </c>
      <c r="I153" s="63">
        <f t="shared" si="61"/>
        <v>99.733021077283354</v>
      </c>
    </row>
    <row r="154" spans="1:9" ht="24" x14ac:dyDescent="0.2">
      <c r="A154" s="2" t="s">
        <v>40</v>
      </c>
      <c r="B154" s="1" t="s">
        <v>187</v>
      </c>
      <c r="C154" s="1" t="s">
        <v>12</v>
      </c>
      <c r="D154" s="1" t="s">
        <v>46</v>
      </c>
      <c r="E154" s="1" t="s">
        <v>549</v>
      </c>
      <c r="F154" s="1" t="s">
        <v>44</v>
      </c>
      <c r="G154" s="63">
        <v>85.4</v>
      </c>
      <c r="H154" s="63">
        <v>85.171999999999997</v>
      </c>
      <c r="I154" s="63">
        <f t="shared" si="61"/>
        <v>99.733021077283354</v>
      </c>
    </row>
    <row r="155" spans="1:9" ht="12.75" x14ac:dyDescent="0.2">
      <c r="A155" s="2" t="s">
        <v>143</v>
      </c>
      <c r="B155" s="1" t="s">
        <v>187</v>
      </c>
      <c r="C155" s="1" t="s">
        <v>20</v>
      </c>
      <c r="D155" s="1"/>
      <c r="E155" s="1"/>
      <c r="F155" s="1"/>
      <c r="G155" s="63">
        <f t="shared" ref="G155:H160" si="67">G156</f>
        <v>0.11099000000000001</v>
      </c>
      <c r="H155" s="63">
        <f t="shared" si="67"/>
        <v>0.11099000000000001</v>
      </c>
      <c r="I155" s="63">
        <f t="shared" si="61"/>
        <v>100</v>
      </c>
    </row>
    <row r="156" spans="1:9" ht="24" x14ac:dyDescent="0.2">
      <c r="A156" s="2" t="s">
        <v>21</v>
      </c>
      <c r="B156" s="1" t="s">
        <v>187</v>
      </c>
      <c r="C156" s="1" t="s">
        <v>20</v>
      </c>
      <c r="D156" s="1" t="s">
        <v>12</v>
      </c>
      <c r="E156" s="1"/>
      <c r="F156" s="1"/>
      <c r="G156" s="63">
        <f t="shared" ref="G156:H156" si="68">G158</f>
        <v>0.11099000000000001</v>
      </c>
      <c r="H156" s="63">
        <f t="shared" si="68"/>
        <v>0.11099000000000001</v>
      </c>
      <c r="I156" s="63">
        <f t="shared" si="61"/>
        <v>100</v>
      </c>
    </row>
    <row r="157" spans="1:9" ht="24" x14ac:dyDescent="0.2">
      <c r="A157" s="2" t="s">
        <v>419</v>
      </c>
      <c r="B157" s="1" t="s">
        <v>187</v>
      </c>
      <c r="C157" s="1" t="s">
        <v>20</v>
      </c>
      <c r="D157" s="1" t="s">
        <v>12</v>
      </c>
      <c r="E157" s="1" t="s">
        <v>2</v>
      </c>
      <c r="F157" s="1"/>
      <c r="G157" s="63">
        <f>G158</f>
        <v>0.11099000000000001</v>
      </c>
      <c r="H157" s="63">
        <f t="shared" ref="H157" si="69">H158</f>
        <v>0.11099000000000001</v>
      </c>
      <c r="I157" s="63">
        <f t="shared" si="61"/>
        <v>100</v>
      </c>
    </row>
    <row r="158" spans="1:9" ht="48" x14ac:dyDescent="0.2">
      <c r="A158" s="2" t="s">
        <v>267</v>
      </c>
      <c r="B158" s="1" t="s">
        <v>187</v>
      </c>
      <c r="C158" s="1">
        <v>13</v>
      </c>
      <c r="D158" s="1" t="s">
        <v>12</v>
      </c>
      <c r="E158" s="1" t="s">
        <v>11</v>
      </c>
      <c r="F158" s="1"/>
      <c r="G158" s="85">
        <f t="shared" si="67"/>
        <v>0.11099000000000001</v>
      </c>
      <c r="H158" s="85">
        <f t="shared" si="67"/>
        <v>0.11099000000000001</v>
      </c>
      <c r="I158" s="63">
        <f t="shared" si="61"/>
        <v>100</v>
      </c>
    </row>
    <row r="159" spans="1:9" ht="36" x14ac:dyDescent="0.2">
      <c r="A159" s="2" t="s">
        <v>10</v>
      </c>
      <c r="B159" s="1" t="s">
        <v>187</v>
      </c>
      <c r="C159" s="1">
        <v>13</v>
      </c>
      <c r="D159" s="1" t="s">
        <v>12</v>
      </c>
      <c r="E159" s="1" t="s">
        <v>9</v>
      </c>
      <c r="F159" s="1"/>
      <c r="G159" s="85">
        <f t="shared" si="67"/>
        <v>0.11099000000000001</v>
      </c>
      <c r="H159" s="85">
        <f t="shared" si="67"/>
        <v>0.11099000000000001</v>
      </c>
      <c r="I159" s="63">
        <f t="shared" si="61"/>
        <v>100</v>
      </c>
    </row>
    <row r="160" spans="1:9" ht="12.75" x14ac:dyDescent="0.2">
      <c r="A160" s="2" t="s">
        <v>268</v>
      </c>
      <c r="B160" s="1" t="s">
        <v>187</v>
      </c>
      <c r="C160" s="1">
        <v>13</v>
      </c>
      <c r="D160" s="1" t="s">
        <v>12</v>
      </c>
      <c r="E160" s="1" t="s">
        <v>19</v>
      </c>
      <c r="F160" s="1"/>
      <c r="G160" s="87">
        <f t="shared" si="67"/>
        <v>0.11099000000000001</v>
      </c>
      <c r="H160" s="87">
        <f t="shared" si="67"/>
        <v>0.11099000000000001</v>
      </c>
      <c r="I160" s="63">
        <f t="shared" si="61"/>
        <v>100</v>
      </c>
    </row>
    <row r="161" spans="1:9" ht="12.75" x14ac:dyDescent="0.2">
      <c r="A161" s="2" t="s">
        <v>18</v>
      </c>
      <c r="B161" s="1" t="s">
        <v>187</v>
      </c>
      <c r="C161" s="1">
        <v>13</v>
      </c>
      <c r="D161" s="1" t="s">
        <v>12</v>
      </c>
      <c r="E161" s="1" t="s">
        <v>19</v>
      </c>
      <c r="F161" s="1" t="s">
        <v>17</v>
      </c>
      <c r="G161" s="85">
        <v>0.11099000000000001</v>
      </c>
      <c r="H161" s="85">
        <v>0.11099000000000001</v>
      </c>
      <c r="I161" s="63">
        <f t="shared" si="61"/>
        <v>100</v>
      </c>
    </row>
    <row r="162" spans="1:9" ht="13.5" customHeight="1" x14ac:dyDescent="0.2">
      <c r="A162" s="2" t="s">
        <v>8</v>
      </c>
      <c r="B162" s="1" t="s">
        <v>187</v>
      </c>
      <c r="C162" s="1"/>
      <c r="D162" s="1"/>
      <c r="E162" s="1"/>
      <c r="F162" s="1"/>
      <c r="G162" s="63">
        <f>G202+G190+G183+G169+G163</f>
        <v>54842.163569999997</v>
      </c>
      <c r="H162" s="63">
        <f>H202+H190+H183+H169+H163</f>
        <v>54842.163569999997</v>
      </c>
      <c r="I162" s="63">
        <f t="shared" si="61"/>
        <v>100</v>
      </c>
    </row>
    <row r="163" spans="1:9" ht="16.5" customHeight="1" x14ac:dyDescent="0.2">
      <c r="A163" s="2" t="s">
        <v>104</v>
      </c>
      <c r="B163" s="1" t="s">
        <v>187</v>
      </c>
      <c r="C163" s="1" t="s">
        <v>6</v>
      </c>
      <c r="D163" s="1"/>
      <c r="E163" s="1"/>
      <c r="F163" s="1"/>
      <c r="G163" s="63">
        <f>G164</f>
        <v>87</v>
      </c>
      <c r="H163" s="63">
        <f t="shared" ref="H163:H167" si="70">H164</f>
        <v>87</v>
      </c>
      <c r="I163" s="63">
        <f t="shared" si="61"/>
        <v>100</v>
      </c>
    </row>
    <row r="164" spans="1:9" ht="39.75" customHeight="1" x14ac:dyDescent="0.2">
      <c r="A164" s="2" t="s">
        <v>103</v>
      </c>
      <c r="B164" s="1" t="s">
        <v>187</v>
      </c>
      <c r="C164" s="1" t="s">
        <v>6</v>
      </c>
      <c r="D164" s="1" t="s">
        <v>59</v>
      </c>
      <c r="E164" s="1"/>
      <c r="F164" s="1"/>
      <c r="G164" s="63">
        <f>G166</f>
        <v>87</v>
      </c>
      <c r="H164" s="63">
        <f>H166</f>
        <v>87</v>
      </c>
      <c r="I164" s="63">
        <f t="shared" si="61"/>
        <v>100</v>
      </c>
    </row>
    <row r="165" spans="1:9" ht="13.5" customHeight="1" x14ac:dyDescent="0.2">
      <c r="A165" s="2" t="s">
        <v>450</v>
      </c>
      <c r="B165" s="1" t="s">
        <v>187</v>
      </c>
      <c r="C165" s="1" t="s">
        <v>6</v>
      </c>
      <c r="D165" s="1" t="s">
        <v>59</v>
      </c>
      <c r="E165" s="1" t="s">
        <v>0</v>
      </c>
      <c r="F165" s="1"/>
      <c r="G165" s="82">
        <f>G166</f>
        <v>87</v>
      </c>
      <c r="H165" s="82">
        <f t="shared" ref="H165" si="71">H166</f>
        <v>87</v>
      </c>
      <c r="I165" s="63">
        <f t="shared" si="61"/>
        <v>100</v>
      </c>
    </row>
    <row r="166" spans="1:9" ht="13.5" customHeight="1" x14ac:dyDescent="0.2">
      <c r="A166" s="2" t="s">
        <v>111</v>
      </c>
      <c r="B166" s="1" t="s">
        <v>187</v>
      </c>
      <c r="C166" s="1" t="s">
        <v>6</v>
      </c>
      <c r="D166" s="1" t="s">
        <v>59</v>
      </c>
      <c r="E166" s="1" t="s">
        <v>207</v>
      </c>
      <c r="F166" s="1"/>
      <c r="G166" s="63">
        <f>G167</f>
        <v>87</v>
      </c>
      <c r="H166" s="63">
        <f t="shared" si="70"/>
        <v>87</v>
      </c>
      <c r="I166" s="63">
        <f t="shared" si="61"/>
        <v>100</v>
      </c>
    </row>
    <row r="167" spans="1:9" ht="13.5" customHeight="1" x14ac:dyDescent="0.2">
      <c r="A167" s="2" t="s">
        <v>39</v>
      </c>
      <c r="B167" s="1" t="s">
        <v>187</v>
      </c>
      <c r="C167" s="1" t="s">
        <v>6</v>
      </c>
      <c r="D167" s="1" t="s">
        <v>59</v>
      </c>
      <c r="E167" s="1" t="s">
        <v>37</v>
      </c>
      <c r="F167" s="1"/>
      <c r="G167" s="63">
        <f>G168</f>
        <v>87</v>
      </c>
      <c r="H167" s="63">
        <f t="shared" si="70"/>
        <v>87</v>
      </c>
      <c r="I167" s="63">
        <f t="shared" si="61"/>
        <v>100</v>
      </c>
    </row>
    <row r="168" spans="1:9" ht="13.5" customHeight="1" x14ac:dyDescent="0.2">
      <c r="A168" s="2" t="s">
        <v>8</v>
      </c>
      <c r="B168" s="1" t="s">
        <v>187</v>
      </c>
      <c r="C168" s="1" t="s">
        <v>6</v>
      </c>
      <c r="D168" s="1" t="s">
        <v>59</v>
      </c>
      <c r="E168" s="1" t="s">
        <v>37</v>
      </c>
      <c r="F168" s="1" t="s">
        <v>5</v>
      </c>
      <c r="G168" s="63">
        <v>87</v>
      </c>
      <c r="H168" s="63">
        <v>87</v>
      </c>
      <c r="I168" s="63">
        <f t="shared" si="61"/>
        <v>100</v>
      </c>
    </row>
    <row r="169" spans="1:9" ht="12.75" x14ac:dyDescent="0.2">
      <c r="A169" s="2" t="s">
        <v>96</v>
      </c>
      <c r="B169" s="1" t="s">
        <v>187</v>
      </c>
      <c r="C169" s="1" t="s">
        <v>52</v>
      </c>
      <c r="D169" s="1"/>
      <c r="E169" s="1"/>
      <c r="F169" s="1"/>
      <c r="G169" s="63">
        <f>G170+G177</f>
        <v>3306</v>
      </c>
      <c r="H169" s="63">
        <f t="shared" ref="H169" si="72">H170+H177</f>
        <v>3306</v>
      </c>
      <c r="I169" s="63">
        <f t="shared" si="61"/>
        <v>100</v>
      </c>
    </row>
    <row r="170" spans="1:9" ht="36" x14ac:dyDescent="0.2">
      <c r="A170" s="5" t="s">
        <v>199</v>
      </c>
      <c r="B170" s="1" t="s">
        <v>187</v>
      </c>
      <c r="C170" s="1" t="s">
        <v>52</v>
      </c>
      <c r="D170" s="1" t="s">
        <v>59</v>
      </c>
      <c r="E170" s="1" t="s">
        <v>1</v>
      </c>
      <c r="F170" s="1"/>
      <c r="G170" s="88">
        <f>G171</f>
        <v>2789</v>
      </c>
      <c r="H170" s="88">
        <f t="shared" ref="H170:H175" si="73">H171</f>
        <v>2789</v>
      </c>
      <c r="I170" s="63">
        <f t="shared" si="61"/>
        <v>100</v>
      </c>
    </row>
    <row r="171" spans="1:9" ht="48.75" x14ac:dyDescent="0.25">
      <c r="A171" s="2" t="s">
        <v>277</v>
      </c>
      <c r="B171" s="1" t="s">
        <v>187</v>
      </c>
      <c r="C171" s="1" t="s">
        <v>52</v>
      </c>
      <c r="D171" s="1" t="s">
        <v>59</v>
      </c>
      <c r="E171" s="1" t="s">
        <v>278</v>
      </c>
      <c r="F171" s="1"/>
      <c r="G171" s="89">
        <f t="shared" ref="G171:H171" si="74">G172</f>
        <v>2789</v>
      </c>
      <c r="H171" s="89">
        <f t="shared" si="74"/>
        <v>2789</v>
      </c>
      <c r="I171" s="63">
        <f t="shared" si="61"/>
        <v>100</v>
      </c>
    </row>
    <row r="172" spans="1:9" ht="17.25" customHeight="1" x14ac:dyDescent="0.25">
      <c r="A172" s="2" t="s">
        <v>334</v>
      </c>
      <c r="B172" s="1" t="s">
        <v>187</v>
      </c>
      <c r="C172" s="1" t="s">
        <v>52</v>
      </c>
      <c r="D172" s="1" t="s">
        <v>59</v>
      </c>
      <c r="E172" s="1" t="s">
        <v>279</v>
      </c>
      <c r="F172" s="1"/>
      <c r="G172" s="89">
        <f>G173+G175</f>
        <v>2789</v>
      </c>
      <c r="H172" s="89">
        <f t="shared" ref="H172" si="75">H173+H175</f>
        <v>2789</v>
      </c>
      <c r="I172" s="63">
        <f t="shared" si="61"/>
        <v>100</v>
      </c>
    </row>
    <row r="173" spans="1:9" ht="24" x14ac:dyDescent="0.2">
      <c r="A173" s="5" t="s">
        <v>333</v>
      </c>
      <c r="B173" s="1" t="s">
        <v>187</v>
      </c>
      <c r="C173" s="1" t="s">
        <v>52</v>
      </c>
      <c r="D173" s="1" t="s">
        <v>59</v>
      </c>
      <c r="E173" s="1" t="s">
        <v>280</v>
      </c>
      <c r="F173" s="1"/>
      <c r="G173" s="63">
        <f>G174</f>
        <v>2289</v>
      </c>
      <c r="H173" s="63">
        <f t="shared" si="73"/>
        <v>2289</v>
      </c>
      <c r="I173" s="63">
        <f t="shared" si="61"/>
        <v>100</v>
      </c>
    </row>
    <row r="174" spans="1:9" ht="12.75" x14ac:dyDescent="0.2">
      <c r="A174" s="2" t="s">
        <v>8</v>
      </c>
      <c r="B174" s="1" t="s">
        <v>187</v>
      </c>
      <c r="C174" s="1" t="s">
        <v>52</v>
      </c>
      <c r="D174" s="1" t="s">
        <v>59</v>
      </c>
      <c r="E174" s="1" t="s">
        <v>280</v>
      </c>
      <c r="F174" s="1" t="s">
        <v>5</v>
      </c>
      <c r="G174" s="63">
        <v>2289</v>
      </c>
      <c r="H174" s="63">
        <v>2289</v>
      </c>
      <c r="I174" s="63">
        <f t="shared" si="61"/>
        <v>100</v>
      </c>
    </row>
    <row r="175" spans="1:9" ht="33.75" customHeight="1" x14ac:dyDescent="0.2">
      <c r="A175" s="5" t="s">
        <v>511</v>
      </c>
      <c r="B175" s="1" t="s">
        <v>187</v>
      </c>
      <c r="C175" s="1" t="s">
        <v>52</v>
      </c>
      <c r="D175" s="1" t="s">
        <v>59</v>
      </c>
      <c r="E175" s="1" t="s">
        <v>510</v>
      </c>
      <c r="F175" s="1"/>
      <c r="G175" s="63">
        <f>G176</f>
        <v>500</v>
      </c>
      <c r="H175" s="63">
        <f t="shared" si="73"/>
        <v>500</v>
      </c>
      <c r="I175" s="63">
        <f t="shared" si="61"/>
        <v>100</v>
      </c>
    </row>
    <row r="176" spans="1:9" ht="15.75" customHeight="1" x14ac:dyDescent="0.2">
      <c r="A176" s="2" t="s">
        <v>8</v>
      </c>
      <c r="B176" s="1" t="s">
        <v>187</v>
      </c>
      <c r="C176" s="1" t="s">
        <v>52</v>
      </c>
      <c r="D176" s="1" t="s">
        <v>59</v>
      </c>
      <c r="E176" s="1" t="s">
        <v>510</v>
      </c>
      <c r="F176" s="1" t="s">
        <v>5</v>
      </c>
      <c r="G176" s="63">
        <v>500</v>
      </c>
      <c r="H176" s="63">
        <v>500</v>
      </c>
      <c r="I176" s="63">
        <f t="shared" si="61"/>
        <v>100</v>
      </c>
    </row>
    <row r="177" spans="1:9" ht="13.5" customHeight="1" x14ac:dyDescent="0.2">
      <c r="A177" s="5" t="s">
        <v>89</v>
      </c>
      <c r="B177" s="1" t="s">
        <v>187</v>
      </c>
      <c r="C177" s="1" t="s">
        <v>52</v>
      </c>
      <c r="D177" s="1" t="s">
        <v>24</v>
      </c>
      <c r="E177" s="1"/>
      <c r="F177" s="1"/>
      <c r="G177" s="63">
        <f>G178</f>
        <v>517</v>
      </c>
      <c r="H177" s="63">
        <f t="shared" ref="H177:H181" si="76">H178</f>
        <v>517</v>
      </c>
      <c r="I177" s="63">
        <f t="shared" si="61"/>
        <v>100</v>
      </c>
    </row>
    <row r="178" spans="1:9" ht="22.5" customHeight="1" x14ac:dyDescent="0.2">
      <c r="A178" s="2" t="s">
        <v>397</v>
      </c>
      <c r="B178" s="1" t="s">
        <v>187</v>
      </c>
      <c r="C178" s="1" t="s">
        <v>52</v>
      </c>
      <c r="D178" s="1" t="s">
        <v>24</v>
      </c>
      <c r="E178" s="1" t="s">
        <v>290</v>
      </c>
      <c r="F178" s="1"/>
      <c r="G178" s="63">
        <f>G179</f>
        <v>517</v>
      </c>
      <c r="H178" s="63">
        <f t="shared" si="76"/>
        <v>517</v>
      </c>
      <c r="I178" s="63">
        <f t="shared" si="61"/>
        <v>100</v>
      </c>
    </row>
    <row r="179" spans="1:9" ht="22.5" customHeight="1" x14ac:dyDescent="0.2">
      <c r="A179" s="2" t="s">
        <v>421</v>
      </c>
      <c r="B179" s="1" t="s">
        <v>187</v>
      </c>
      <c r="C179" s="1" t="s">
        <v>52</v>
      </c>
      <c r="D179" s="1" t="s">
        <v>24</v>
      </c>
      <c r="E179" s="1" t="s">
        <v>285</v>
      </c>
      <c r="F179" s="1"/>
      <c r="G179" s="63">
        <f>G180</f>
        <v>517</v>
      </c>
      <c r="H179" s="63">
        <f t="shared" si="76"/>
        <v>517</v>
      </c>
      <c r="I179" s="63">
        <f t="shared" si="61"/>
        <v>100</v>
      </c>
    </row>
    <row r="180" spans="1:9" ht="22.5" customHeight="1" x14ac:dyDescent="0.2">
      <c r="A180" s="2" t="s">
        <v>86</v>
      </c>
      <c r="B180" s="1" t="s">
        <v>187</v>
      </c>
      <c r="C180" s="1" t="s">
        <v>52</v>
      </c>
      <c r="D180" s="1" t="s">
        <v>24</v>
      </c>
      <c r="E180" s="1" t="s">
        <v>286</v>
      </c>
      <c r="F180" s="1"/>
      <c r="G180" s="63">
        <f>G181</f>
        <v>517</v>
      </c>
      <c r="H180" s="63">
        <f t="shared" si="76"/>
        <v>517</v>
      </c>
      <c r="I180" s="63">
        <f t="shared" si="61"/>
        <v>100</v>
      </c>
    </row>
    <row r="181" spans="1:9" ht="22.5" customHeight="1" x14ac:dyDescent="0.2">
      <c r="A181" s="2" t="s">
        <v>424</v>
      </c>
      <c r="B181" s="1" t="s">
        <v>187</v>
      </c>
      <c r="C181" s="1" t="s">
        <v>52</v>
      </c>
      <c r="D181" s="1" t="s">
        <v>24</v>
      </c>
      <c r="E181" s="1" t="s">
        <v>287</v>
      </c>
      <c r="F181" s="1"/>
      <c r="G181" s="63">
        <f>G182</f>
        <v>517</v>
      </c>
      <c r="H181" s="63">
        <f t="shared" si="76"/>
        <v>517</v>
      </c>
      <c r="I181" s="63">
        <f t="shared" si="61"/>
        <v>100</v>
      </c>
    </row>
    <row r="182" spans="1:9" ht="15.75" customHeight="1" x14ac:dyDescent="0.2">
      <c r="A182" s="2" t="s">
        <v>8</v>
      </c>
      <c r="B182" s="1" t="s">
        <v>187</v>
      </c>
      <c r="C182" s="1" t="s">
        <v>52</v>
      </c>
      <c r="D182" s="1" t="s">
        <v>24</v>
      </c>
      <c r="E182" s="1" t="s">
        <v>287</v>
      </c>
      <c r="F182" s="1" t="s">
        <v>5</v>
      </c>
      <c r="G182" s="63">
        <v>517</v>
      </c>
      <c r="H182" s="63">
        <v>517</v>
      </c>
      <c r="I182" s="63">
        <f t="shared" si="61"/>
        <v>100</v>
      </c>
    </row>
    <row r="183" spans="1:9" ht="12.75" x14ac:dyDescent="0.2">
      <c r="A183" s="2" t="s">
        <v>85</v>
      </c>
      <c r="B183" s="1" t="s">
        <v>187</v>
      </c>
      <c r="C183" s="1" t="s">
        <v>30</v>
      </c>
      <c r="D183" s="1"/>
      <c r="E183" s="1"/>
      <c r="F183" s="1"/>
      <c r="G183" s="63">
        <f>G184</f>
        <v>429.24824999999998</v>
      </c>
      <c r="H183" s="63">
        <f>H184</f>
        <v>429.24824999999998</v>
      </c>
      <c r="I183" s="63">
        <f t="shared" si="61"/>
        <v>100</v>
      </c>
    </row>
    <row r="184" spans="1:9" ht="12.75" x14ac:dyDescent="0.2">
      <c r="A184" s="2" t="s">
        <v>164</v>
      </c>
      <c r="B184" s="1" t="s">
        <v>187</v>
      </c>
      <c r="C184" s="1" t="s">
        <v>30</v>
      </c>
      <c r="D184" s="1" t="s">
        <v>6</v>
      </c>
      <c r="E184" s="1"/>
      <c r="F184" s="1"/>
      <c r="G184" s="63">
        <f>G185</f>
        <v>429.24824999999998</v>
      </c>
      <c r="H184" s="63">
        <f t="shared" ref="H184" si="77">H185</f>
        <v>429.24824999999998</v>
      </c>
      <c r="I184" s="63">
        <f t="shared" si="61"/>
        <v>100</v>
      </c>
    </row>
    <row r="185" spans="1:9" ht="36" x14ac:dyDescent="0.2">
      <c r="A185" s="2" t="s">
        <v>199</v>
      </c>
      <c r="B185" s="1" t="s">
        <v>187</v>
      </c>
      <c r="C185" s="1" t="s">
        <v>30</v>
      </c>
      <c r="D185" s="1" t="s">
        <v>6</v>
      </c>
      <c r="E185" s="1" t="s">
        <v>1</v>
      </c>
      <c r="F185" s="1"/>
      <c r="G185" s="88">
        <f>G186</f>
        <v>429.24824999999998</v>
      </c>
      <c r="H185" s="88">
        <f t="shared" ref="H185" si="78">H186</f>
        <v>429.24824999999998</v>
      </c>
      <c r="I185" s="63">
        <f t="shared" si="61"/>
        <v>100</v>
      </c>
    </row>
    <row r="186" spans="1:9" ht="48.75" x14ac:dyDescent="0.25">
      <c r="A186" s="2" t="s">
        <v>292</v>
      </c>
      <c r="B186" s="1" t="s">
        <v>187</v>
      </c>
      <c r="C186" s="1" t="s">
        <v>30</v>
      </c>
      <c r="D186" s="1" t="s">
        <v>6</v>
      </c>
      <c r="E186" s="1" t="s">
        <v>79</v>
      </c>
      <c r="F186" s="1"/>
      <c r="G186" s="90">
        <f t="shared" ref="G186:H188" si="79">G187</f>
        <v>429.24824999999998</v>
      </c>
      <c r="H186" s="90">
        <f t="shared" si="79"/>
        <v>429.24824999999998</v>
      </c>
      <c r="I186" s="63">
        <f t="shared" si="61"/>
        <v>100</v>
      </c>
    </row>
    <row r="187" spans="1:9" ht="24.75" x14ac:dyDescent="0.25">
      <c r="A187" s="2" t="s">
        <v>381</v>
      </c>
      <c r="B187" s="1" t="s">
        <v>187</v>
      </c>
      <c r="C187" s="1" t="s">
        <v>30</v>
      </c>
      <c r="D187" s="1" t="s">
        <v>6</v>
      </c>
      <c r="E187" s="1" t="s">
        <v>382</v>
      </c>
      <c r="F187" s="1"/>
      <c r="G187" s="90">
        <f t="shared" si="79"/>
        <v>429.24824999999998</v>
      </c>
      <c r="H187" s="90">
        <f t="shared" si="79"/>
        <v>429.24824999999998</v>
      </c>
      <c r="I187" s="63">
        <f t="shared" si="61"/>
        <v>100</v>
      </c>
    </row>
    <row r="188" spans="1:9" ht="24.75" x14ac:dyDescent="0.25">
      <c r="A188" s="2" t="s">
        <v>385</v>
      </c>
      <c r="B188" s="1" t="s">
        <v>187</v>
      </c>
      <c r="C188" s="1" t="s">
        <v>30</v>
      </c>
      <c r="D188" s="1" t="s">
        <v>6</v>
      </c>
      <c r="E188" s="1" t="s">
        <v>386</v>
      </c>
      <c r="F188" s="1"/>
      <c r="G188" s="90">
        <f>G189</f>
        <v>429.24824999999998</v>
      </c>
      <c r="H188" s="90">
        <f t="shared" si="79"/>
        <v>429.24824999999998</v>
      </c>
      <c r="I188" s="63">
        <f t="shared" si="61"/>
        <v>100</v>
      </c>
    </row>
    <row r="189" spans="1:9" x14ac:dyDescent="0.25">
      <c r="A189" s="2" t="s">
        <v>8</v>
      </c>
      <c r="B189" s="1" t="s">
        <v>187</v>
      </c>
      <c r="C189" s="1" t="s">
        <v>30</v>
      </c>
      <c r="D189" s="1" t="s">
        <v>6</v>
      </c>
      <c r="E189" s="1" t="s">
        <v>386</v>
      </c>
      <c r="F189" s="1" t="s">
        <v>5</v>
      </c>
      <c r="G189" s="69">
        <v>429.24824999999998</v>
      </c>
      <c r="H189" s="90">
        <v>429.24824999999998</v>
      </c>
      <c r="I189" s="63">
        <f t="shared" si="61"/>
        <v>100</v>
      </c>
    </row>
    <row r="190" spans="1:9" ht="12.75" x14ac:dyDescent="0.2">
      <c r="A190" s="2" t="s">
        <v>68</v>
      </c>
      <c r="B190" s="1" t="s">
        <v>187</v>
      </c>
      <c r="C190" s="1" t="s">
        <v>63</v>
      </c>
      <c r="D190" s="1"/>
      <c r="E190" s="1"/>
      <c r="F190" s="1"/>
      <c r="G190" s="63">
        <f>G191</f>
        <v>2151.2849000000001</v>
      </c>
      <c r="H190" s="63">
        <f t="shared" ref="H190:H197" si="80">H191</f>
        <v>2151.2849000000001</v>
      </c>
      <c r="I190" s="63">
        <f t="shared" si="61"/>
        <v>100</v>
      </c>
    </row>
    <row r="191" spans="1:9" ht="12.75" x14ac:dyDescent="0.2">
      <c r="A191" s="2" t="s">
        <v>67</v>
      </c>
      <c r="B191" s="1" t="s">
        <v>187</v>
      </c>
      <c r="C191" s="1" t="s">
        <v>63</v>
      </c>
      <c r="D191" s="1" t="s">
        <v>12</v>
      </c>
      <c r="E191" s="1"/>
      <c r="F191" s="1"/>
      <c r="G191" s="63">
        <f>G192+G197</f>
        <v>2151.2849000000001</v>
      </c>
      <c r="H191" s="63">
        <f t="shared" ref="H191" si="81">H192+H197</f>
        <v>2151.2849000000001</v>
      </c>
      <c r="I191" s="63">
        <f t="shared" ref="I191:I254" si="82">H191/G191*100</f>
        <v>100</v>
      </c>
    </row>
    <row r="192" spans="1:9" ht="24" x14ac:dyDescent="0.2">
      <c r="A192" s="2" t="s">
        <v>394</v>
      </c>
      <c r="B192" s="1" t="s">
        <v>187</v>
      </c>
      <c r="C192" s="1" t="s">
        <v>63</v>
      </c>
      <c r="D192" s="1" t="s">
        <v>12</v>
      </c>
      <c r="E192" s="1" t="s">
        <v>3</v>
      </c>
      <c r="F192" s="1"/>
      <c r="G192" s="63">
        <f>G193</f>
        <v>289.25049999999999</v>
      </c>
      <c r="H192" s="63">
        <f t="shared" ref="H192:H195" si="83">H193</f>
        <v>289.25049999999999</v>
      </c>
      <c r="I192" s="63">
        <f t="shared" si="82"/>
        <v>100</v>
      </c>
    </row>
    <row r="193" spans="1:9" ht="36" x14ac:dyDescent="0.2">
      <c r="A193" s="2" t="s">
        <v>272</v>
      </c>
      <c r="B193" s="1" t="s">
        <v>187</v>
      </c>
      <c r="C193" s="1" t="s">
        <v>63</v>
      </c>
      <c r="D193" s="1" t="s">
        <v>12</v>
      </c>
      <c r="E193" s="1" t="s">
        <v>34</v>
      </c>
      <c r="F193" s="1"/>
      <c r="G193" s="85">
        <f>G194</f>
        <v>289.25049999999999</v>
      </c>
      <c r="H193" s="85">
        <f t="shared" si="83"/>
        <v>289.25049999999999</v>
      </c>
      <c r="I193" s="63">
        <f t="shared" si="82"/>
        <v>100</v>
      </c>
    </row>
    <row r="194" spans="1:9" ht="25.5" customHeight="1" x14ac:dyDescent="0.2">
      <c r="A194" s="2" t="s">
        <v>433</v>
      </c>
      <c r="B194" s="1" t="s">
        <v>187</v>
      </c>
      <c r="C194" s="1" t="s">
        <v>63</v>
      </c>
      <c r="D194" s="1" t="s">
        <v>12</v>
      </c>
      <c r="E194" s="1" t="s">
        <v>238</v>
      </c>
      <c r="F194" s="1"/>
      <c r="G194" s="85">
        <f>G195</f>
        <v>289.25049999999999</v>
      </c>
      <c r="H194" s="85">
        <f t="shared" si="83"/>
        <v>289.25049999999999</v>
      </c>
      <c r="I194" s="63">
        <f t="shared" si="82"/>
        <v>100</v>
      </c>
    </row>
    <row r="195" spans="1:9" ht="24" x14ac:dyDescent="0.2">
      <c r="A195" s="2" t="s">
        <v>470</v>
      </c>
      <c r="B195" s="1" t="s">
        <v>187</v>
      </c>
      <c r="C195" s="1" t="s">
        <v>63</v>
      </c>
      <c r="D195" s="1" t="s">
        <v>12</v>
      </c>
      <c r="E195" s="1" t="s">
        <v>471</v>
      </c>
      <c r="F195" s="1"/>
      <c r="G195" s="63">
        <f>G196</f>
        <v>289.25049999999999</v>
      </c>
      <c r="H195" s="63">
        <f t="shared" si="83"/>
        <v>289.25049999999999</v>
      </c>
      <c r="I195" s="63">
        <f t="shared" si="82"/>
        <v>100</v>
      </c>
    </row>
    <row r="196" spans="1:9" ht="12.75" x14ac:dyDescent="0.2">
      <c r="A196" s="2" t="s">
        <v>8</v>
      </c>
      <c r="B196" s="1" t="s">
        <v>187</v>
      </c>
      <c r="C196" s="1" t="s">
        <v>63</v>
      </c>
      <c r="D196" s="1" t="s">
        <v>12</v>
      </c>
      <c r="E196" s="1" t="s">
        <v>471</v>
      </c>
      <c r="F196" s="1" t="s">
        <v>5</v>
      </c>
      <c r="G196" s="63">
        <v>289.25049999999999</v>
      </c>
      <c r="H196" s="63">
        <v>289.25049999999999</v>
      </c>
      <c r="I196" s="63">
        <f t="shared" si="82"/>
        <v>100</v>
      </c>
    </row>
    <row r="197" spans="1:9" ht="24" x14ac:dyDescent="0.2">
      <c r="A197" s="2" t="s">
        <v>419</v>
      </c>
      <c r="B197" s="1" t="s">
        <v>187</v>
      </c>
      <c r="C197" s="1" t="s">
        <v>63</v>
      </c>
      <c r="D197" s="1" t="s">
        <v>12</v>
      </c>
      <c r="E197" s="1" t="s">
        <v>2</v>
      </c>
      <c r="F197" s="1"/>
      <c r="G197" s="63">
        <f>G198</f>
        <v>1862.0344</v>
      </c>
      <c r="H197" s="63">
        <f t="shared" si="80"/>
        <v>1862.0344</v>
      </c>
      <c r="I197" s="63">
        <f t="shared" si="82"/>
        <v>100</v>
      </c>
    </row>
    <row r="198" spans="1:9" ht="46.5" customHeight="1" x14ac:dyDescent="0.2">
      <c r="A198" s="2" t="s">
        <v>267</v>
      </c>
      <c r="B198" s="1" t="s">
        <v>187</v>
      </c>
      <c r="C198" s="1" t="s">
        <v>63</v>
      </c>
      <c r="D198" s="1" t="s">
        <v>12</v>
      </c>
      <c r="E198" s="1" t="s">
        <v>11</v>
      </c>
      <c r="F198" s="1"/>
      <c r="G198" s="85">
        <f t="shared" ref="G198:H199" si="84">G199</f>
        <v>1862.0344</v>
      </c>
      <c r="H198" s="85">
        <f t="shared" si="84"/>
        <v>1862.0344</v>
      </c>
      <c r="I198" s="63">
        <f t="shared" si="82"/>
        <v>100</v>
      </c>
    </row>
    <row r="199" spans="1:9" ht="36" x14ac:dyDescent="0.2">
      <c r="A199" s="2" t="s">
        <v>10</v>
      </c>
      <c r="B199" s="1" t="s">
        <v>187</v>
      </c>
      <c r="C199" s="1" t="s">
        <v>63</v>
      </c>
      <c r="D199" s="1" t="s">
        <v>12</v>
      </c>
      <c r="E199" s="1" t="s">
        <v>9</v>
      </c>
      <c r="F199" s="1"/>
      <c r="G199" s="85">
        <f>G200</f>
        <v>1862.0344</v>
      </c>
      <c r="H199" s="85">
        <f t="shared" si="84"/>
        <v>1862.0344</v>
      </c>
      <c r="I199" s="63">
        <f t="shared" si="82"/>
        <v>100</v>
      </c>
    </row>
    <row r="200" spans="1:9" ht="12.75" x14ac:dyDescent="0.2">
      <c r="A200" s="2" t="s">
        <v>408</v>
      </c>
      <c r="B200" s="1" t="s">
        <v>187</v>
      </c>
      <c r="C200" s="1" t="s">
        <v>63</v>
      </c>
      <c r="D200" s="1" t="s">
        <v>12</v>
      </c>
      <c r="E200" s="1" t="s">
        <v>407</v>
      </c>
      <c r="F200" s="1"/>
      <c r="G200" s="85">
        <f t="shared" ref="G200:H200" si="85">G201</f>
        <v>1862.0344</v>
      </c>
      <c r="H200" s="85">
        <f t="shared" si="85"/>
        <v>1862.0344</v>
      </c>
      <c r="I200" s="63">
        <f t="shared" si="82"/>
        <v>100</v>
      </c>
    </row>
    <row r="201" spans="1:9" ht="12.75" x14ac:dyDescent="0.2">
      <c r="A201" s="2" t="s">
        <v>8</v>
      </c>
      <c r="B201" s="1" t="s">
        <v>187</v>
      </c>
      <c r="C201" s="1" t="s">
        <v>63</v>
      </c>
      <c r="D201" s="1" t="s">
        <v>12</v>
      </c>
      <c r="E201" s="1" t="s">
        <v>407</v>
      </c>
      <c r="F201" s="1" t="s">
        <v>5</v>
      </c>
      <c r="G201" s="85">
        <v>1862.0344</v>
      </c>
      <c r="H201" s="85">
        <v>1862.0344</v>
      </c>
      <c r="I201" s="63">
        <f t="shared" si="82"/>
        <v>100</v>
      </c>
    </row>
    <row r="202" spans="1:9" ht="24" x14ac:dyDescent="0.2">
      <c r="A202" s="2" t="s">
        <v>16</v>
      </c>
      <c r="B202" s="1" t="s">
        <v>187</v>
      </c>
      <c r="C202" s="1" t="s">
        <v>7</v>
      </c>
      <c r="D202" s="1" t="s">
        <v>15</v>
      </c>
      <c r="E202" s="1"/>
      <c r="F202" s="1"/>
      <c r="G202" s="63">
        <f>G203+G209</f>
        <v>48868.630420000001</v>
      </c>
      <c r="H202" s="63">
        <f>H203+H209</f>
        <v>48868.630420000001</v>
      </c>
      <c r="I202" s="63">
        <f t="shared" si="82"/>
        <v>100</v>
      </c>
    </row>
    <row r="203" spans="1:9" ht="24" x14ac:dyDescent="0.2">
      <c r="A203" s="2" t="s">
        <v>14</v>
      </c>
      <c r="B203" s="1" t="s">
        <v>187</v>
      </c>
      <c r="C203" s="1" t="s">
        <v>7</v>
      </c>
      <c r="D203" s="1" t="s">
        <v>12</v>
      </c>
      <c r="E203" s="1"/>
      <c r="F203" s="1"/>
      <c r="G203" s="63">
        <f>G205</f>
        <v>25893.9</v>
      </c>
      <c r="H203" s="63">
        <f t="shared" ref="H203" si="86">H205</f>
        <v>25893.9</v>
      </c>
      <c r="I203" s="63">
        <f t="shared" si="82"/>
        <v>100</v>
      </c>
    </row>
    <row r="204" spans="1:9" ht="24" x14ac:dyDescent="0.2">
      <c r="A204" s="2" t="s">
        <v>419</v>
      </c>
      <c r="B204" s="1" t="s">
        <v>187</v>
      </c>
      <c r="C204" s="1" t="s">
        <v>7</v>
      </c>
      <c r="D204" s="1" t="s">
        <v>12</v>
      </c>
      <c r="E204" s="1" t="s">
        <v>2</v>
      </c>
      <c r="F204" s="1"/>
      <c r="G204" s="63">
        <f>G205</f>
        <v>25893.9</v>
      </c>
      <c r="H204" s="63">
        <f t="shared" ref="H204" si="87">H205</f>
        <v>25893.9</v>
      </c>
      <c r="I204" s="63">
        <f t="shared" si="82"/>
        <v>100</v>
      </c>
    </row>
    <row r="205" spans="1:9" ht="49.5" customHeight="1" x14ac:dyDescent="0.2">
      <c r="A205" s="2" t="s">
        <v>267</v>
      </c>
      <c r="B205" s="1" t="s">
        <v>187</v>
      </c>
      <c r="C205" s="1" t="s">
        <v>7</v>
      </c>
      <c r="D205" s="1" t="s">
        <v>12</v>
      </c>
      <c r="E205" s="1" t="s">
        <v>11</v>
      </c>
      <c r="F205" s="1"/>
      <c r="G205" s="85">
        <f t="shared" ref="G205:H206" si="88">G206</f>
        <v>25893.9</v>
      </c>
      <c r="H205" s="85">
        <f t="shared" si="88"/>
        <v>25893.9</v>
      </c>
      <c r="I205" s="63">
        <f t="shared" si="82"/>
        <v>100</v>
      </c>
    </row>
    <row r="206" spans="1:9" ht="36" x14ac:dyDescent="0.2">
      <c r="A206" s="2" t="s">
        <v>10</v>
      </c>
      <c r="B206" s="1" t="s">
        <v>187</v>
      </c>
      <c r="C206" s="1" t="s">
        <v>7</v>
      </c>
      <c r="D206" s="1" t="s">
        <v>12</v>
      </c>
      <c r="E206" s="1" t="s">
        <v>9</v>
      </c>
      <c r="F206" s="1"/>
      <c r="G206" s="85">
        <f>G207</f>
        <v>25893.9</v>
      </c>
      <c r="H206" s="85">
        <f t="shared" si="88"/>
        <v>25893.9</v>
      </c>
      <c r="I206" s="63">
        <f t="shared" si="82"/>
        <v>100</v>
      </c>
    </row>
    <row r="207" spans="1:9" ht="24" x14ac:dyDescent="0.2">
      <c r="A207" s="2" t="s">
        <v>430</v>
      </c>
      <c r="B207" s="1" t="s">
        <v>187</v>
      </c>
      <c r="C207" s="1" t="s">
        <v>7</v>
      </c>
      <c r="D207" s="1" t="s">
        <v>12</v>
      </c>
      <c r="E207" s="1" t="s">
        <v>13</v>
      </c>
      <c r="F207" s="1"/>
      <c r="G207" s="85">
        <f t="shared" ref="G207:H207" si="89">G208</f>
        <v>25893.9</v>
      </c>
      <c r="H207" s="85">
        <f t="shared" si="89"/>
        <v>25893.9</v>
      </c>
      <c r="I207" s="63">
        <f t="shared" si="82"/>
        <v>100</v>
      </c>
    </row>
    <row r="208" spans="1:9" ht="12.75" x14ac:dyDescent="0.2">
      <c r="A208" s="2" t="s">
        <v>8</v>
      </c>
      <c r="B208" s="1" t="s">
        <v>187</v>
      </c>
      <c r="C208" s="1" t="s">
        <v>7</v>
      </c>
      <c r="D208" s="1" t="s">
        <v>12</v>
      </c>
      <c r="E208" s="1" t="s">
        <v>13</v>
      </c>
      <c r="F208" s="1" t="s">
        <v>5</v>
      </c>
      <c r="G208" s="85">
        <v>25893.9</v>
      </c>
      <c r="H208" s="85">
        <v>25893.9</v>
      </c>
      <c r="I208" s="63">
        <f t="shared" si="82"/>
        <v>100</v>
      </c>
    </row>
    <row r="209" spans="1:9" ht="17.25" customHeight="1" x14ac:dyDescent="0.2">
      <c r="A209" s="5" t="s">
        <v>362</v>
      </c>
      <c r="B209" s="1" t="s">
        <v>187</v>
      </c>
      <c r="C209" s="1" t="s">
        <v>7</v>
      </c>
      <c r="D209" s="1" t="s">
        <v>6</v>
      </c>
      <c r="E209" s="1"/>
      <c r="F209" s="1"/>
      <c r="G209" s="85">
        <f>G210+G219</f>
        <v>22974.73042</v>
      </c>
      <c r="H209" s="85">
        <f t="shared" ref="H209" si="90">H210+H219</f>
        <v>22974.73042</v>
      </c>
      <c r="I209" s="63">
        <f t="shared" si="82"/>
        <v>100</v>
      </c>
    </row>
    <row r="210" spans="1:9" ht="24" x14ac:dyDescent="0.2">
      <c r="A210" s="2" t="s">
        <v>419</v>
      </c>
      <c r="B210" s="1" t="s">
        <v>187</v>
      </c>
      <c r="C210" s="1" t="s">
        <v>7</v>
      </c>
      <c r="D210" s="1" t="s">
        <v>6</v>
      </c>
      <c r="E210" s="1" t="s">
        <v>2</v>
      </c>
      <c r="F210" s="1"/>
      <c r="G210" s="63">
        <f>G211</f>
        <v>22417.049419999999</v>
      </c>
      <c r="H210" s="63">
        <f t="shared" ref="H210:H211" si="91">H211</f>
        <v>22417.049419999999</v>
      </c>
      <c r="I210" s="63">
        <f t="shared" si="82"/>
        <v>100</v>
      </c>
    </row>
    <row r="211" spans="1:9" ht="48.75" customHeight="1" x14ac:dyDescent="0.2">
      <c r="A211" s="2" t="s">
        <v>267</v>
      </c>
      <c r="B211" s="1" t="s">
        <v>187</v>
      </c>
      <c r="C211" s="1" t="s">
        <v>7</v>
      </c>
      <c r="D211" s="1" t="s">
        <v>6</v>
      </c>
      <c r="E211" s="1" t="s">
        <v>11</v>
      </c>
      <c r="F211" s="1"/>
      <c r="G211" s="85">
        <f>G212</f>
        <v>22417.049419999999</v>
      </c>
      <c r="H211" s="85">
        <f t="shared" si="91"/>
        <v>22417.049419999999</v>
      </c>
      <c r="I211" s="63">
        <f t="shared" si="82"/>
        <v>100</v>
      </c>
    </row>
    <row r="212" spans="1:9" ht="36" x14ac:dyDescent="0.2">
      <c r="A212" s="2" t="s">
        <v>10</v>
      </c>
      <c r="B212" s="1" t="s">
        <v>187</v>
      </c>
      <c r="C212" s="1" t="s">
        <v>7</v>
      </c>
      <c r="D212" s="1" t="s">
        <v>6</v>
      </c>
      <c r="E212" s="1" t="s">
        <v>9</v>
      </c>
      <c r="F212" s="1"/>
      <c r="G212" s="85">
        <f>G215+G213+G217</f>
        <v>22417.049419999999</v>
      </c>
      <c r="H212" s="85">
        <f t="shared" ref="H212" si="92">H215+H213+H217</f>
        <v>22417.049419999999</v>
      </c>
      <c r="I212" s="63">
        <f t="shared" si="82"/>
        <v>100</v>
      </c>
    </row>
    <row r="213" spans="1:9" ht="18" customHeight="1" x14ac:dyDescent="0.2">
      <c r="A213" s="5" t="s">
        <v>454</v>
      </c>
      <c r="B213" s="1" t="s">
        <v>187</v>
      </c>
      <c r="C213" s="1" t="s">
        <v>7</v>
      </c>
      <c r="D213" s="1" t="s">
        <v>6</v>
      </c>
      <c r="E213" s="1" t="s">
        <v>407</v>
      </c>
      <c r="F213" s="1"/>
      <c r="G213" s="85">
        <f>G214</f>
        <v>8734.1054199999999</v>
      </c>
      <c r="H213" s="85">
        <f t="shared" ref="H213" si="93">H214</f>
        <v>8734.1054199999999</v>
      </c>
      <c r="I213" s="63">
        <f t="shared" si="82"/>
        <v>100</v>
      </c>
    </row>
    <row r="214" spans="1:9" ht="12.75" x14ac:dyDescent="0.2">
      <c r="A214" s="2" t="s">
        <v>8</v>
      </c>
      <c r="B214" s="1" t="s">
        <v>187</v>
      </c>
      <c r="C214" s="1" t="s">
        <v>7</v>
      </c>
      <c r="D214" s="1" t="s">
        <v>6</v>
      </c>
      <c r="E214" s="1" t="s">
        <v>407</v>
      </c>
      <c r="F214" s="1" t="s">
        <v>5</v>
      </c>
      <c r="G214" s="85">
        <v>8734.1054199999999</v>
      </c>
      <c r="H214" s="85">
        <v>8734.1054199999999</v>
      </c>
      <c r="I214" s="63">
        <f t="shared" si="82"/>
        <v>100</v>
      </c>
    </row>
    <row r="215" spans="1:9" ht="12.75" x14ac:dyDescent="0.2">
      <c r="A215" s="5" t="s">
        <v>358</v>
      </c>
      <c r="B215" s="1" t="s">
        <v>187</v>
      </c>
      <c r="C215" s="1" t="s">
        <v>7</v>
      </c>
      <c r="D215" s="1" t="s">
        <v>6</v>
      </c>
      <c r="E215" s="1" t="s">
        <v>363</v>
      </c>
      <c r="F215" s="1"/>
      <c r="G215" s="85">
        <f>G216</f>
        <v>13364.944</v>
      </c>
      <c r="H215" s="85">
        <f t="shared" ref="H215" si="94">H216</f>
        <v>13364.944</v>
      </c>
      <c r="I215" s="63">
        <f t="shared" si="82"/>
        <v>100</v>
      </c>
    </row>
    <row r="216" spans="1:9" ht="12.75" x14ac:dyDescent="0.2">
      <c r="A216" s="2" t="s">
        <v>8</v>
      </c>
      <c r="B216" s="1" t="s">
        <v>187</v>
      </c>
      <c r="C216" s="1" t="s">
        <v>7</v>
      </c>
      <c r="D216" s="1" t="s">
        <v>6</v>
      </c>
      <c r="E216" s="1" t="s">
        <v>363</v>
      </c>
      <c r="F216" s="1" t="s">
        <v>5</v>
      </c>
      <c r="G216" s="85">
        <v>13364.944</v>
      </c>
      <c r="H216" s="85">
        <v>13364.944</v>
      </c>
      <c r="I216" s="63">
        <f t="shared" si="82"/>
        <v>100</v>
      </c>
    </row>
    <row r="217" spans="1:9" ht="36.75" customHeight="1" x14ac:dyDescent="0.2">
      <c r="A217" s="2" t="s">
        <v>548</v>
      </c>
      <c r="B217" s="1" t="s">
        <v>187</v>
      </c>
      <c r="C217" s="1" t="s">
        <v>7</v>
      </c>
      <c r="D217" s="1" t="s">
        <v>6</v>
      </c>
      <c r="E217" s="1" t="s">
        <v>550</v>
      </c>
      <c r="F217" s="1"/>
      <c r="G217" s="63">
        <f t="shared" ref="G217:H217" si="95">G218</f>
        <v>318</v>
      </c>
      <c r="H217" s="63">
        <f t="shared" si="95"/>
        <v>318</v>
      </c>
      <c r="I217" s="63">
        <f t="shared" si="82"/>
        <v>100</v>
      </c>
    </row>
    <row r="218" spans="1:9" ht="12.75" x14ac:dyDescent="0.2">
      <c r="A218" s="2" t="s">
        <v>8</v>
      </c>
      <c r="B218" s="1" t="s">
        <v>187</v>
      </c>
      <c r="C218" s="1" t="s">
        <v>7</v>
      </c>
      <c r="D218" s="1" t="s">
        <v>6</v>
      </c>
      <c r="E218" s="1" t="s">
        <v>550</v>
      </c>
      <c r="F218" s="1" t="s">
        <v>5</v>
      </c>
      <c r="G218" s="63">
        <v>318</v>
      </c>
      <c r="H218" s="63">
        <v>318</v>
      </c>
      <c r="I218" s="63">
        <f t="shared" si="82"/>
        <v>100</v>
      </c>
    </row>
    <row r="219" spans="1:9" ht="12.75" x14ac:dyDescent="0.2">
      <c r="A219" s="2" t="s">
        <v>450</v>
      </c>
      <c r="B219" s="1" t="s">
        <v>187</v>
      </c>
      <c r="C219" s="1" t="s">
        <v>7</v>
      </c>
      <c r="D219" s="1" t="s">
        <v>6</v>
      </c>
      <c r="E219" s="1" t="s">
        <v>0</v>
      </c>
      <c r="F219" s="1"/>
      <c r="G219" s="84">
        <f>G220</f>
        <v>557.68100000000004</v>
      </c>
      <c r="H219" s="84">
        <f t="shared" ref="H219" si="96">H220</f>
        <v>557.68100000000004</v>
      </c>
      <c r="I219" s="63">
        <f t="shared" si="82"/>
        <v>100</v>
      </c>
    </row>
    <row r="220" spans="1:9" ht="12.75" x14ac:dyDescent="0.2">
      <c r="A220" s="2" t="s">
        <v>39</v>
      </c>
      <c r="B220" s="1" t="s">
        <v>187</v>
      </c>
      <c r="C220" s="1" t="s">
        <v>7</v>
      </c>
      <c r="D220" s="1" t="s">
        <v>6</v>
      </c>
      <c r="E220" s="1" t="s">
        <v>37</v>
      </c>
      <c r="F220" s="1"/>
      <c r="G220" s="84">
        <f>G221</f>
        <v>557.68100000000004</v>
      </c>
      <c r="H220" s="84">
        <f t="shared" ref="H220" si="97">H221</f>
        <v>557.68100000000004</v>
      </c>
      <c r="I220" s="63">
        <f t="shared" si="82"/>
        <v>100</v>
      </c>
    </row>
    <row r="221" spans="1:9" ht="12.75" x14ac:dyDescent="0.2">
      <c r="A221" s="2" t="s">
        <v>8</v>
      </c>
      <c r="B221" s="1" t="s">
        <v>187</v>
      </c>
      <c r="C221" s="1" t="s">
        <v>7</v>
      </c>
      <c r="D221" s="1" t="s">
        <v>6</v>
      </c>
      <c r="E221" s="1" t="s">
        <v>37</v>
      </c>
      <c r="F221" s="1" t="s">
        <v>5</v>
      </c>
      <c r="G221" s="84">
        <v>557.68100000000004</v>
      </c>
      <c r="H221" s="84">
        <v>557.68100000000004</v>
      </c>
      <c r="I221" s="63">
        <f t="shared" si="82"/>
        <v>100</v>
      </c>
    </row>
    <row r="222" spans="1:9" ht="24" x14ac:dyDescent="0.2">
      <c r="A222" s="34" t="s">
        <v>445</v>
      </c>
      <c r="B222" s="3" t="s">
        <v>70</v>
      </c>
      <c r="C222" s="3"/>
      <c r="D222" s="3"/>
      <c r="E222" s="3"/>
      <c r="F222" s="1"/>
      <c r="G222" s="91">
        <f>G223+G300+G326+G387+G440+G446+G471</f>
        <v>119368.08373999999</v>
      </c>
      <c r="H222" s="91">
        <f>H223+H300+H326+H387+H440+H446+H471</f>
        <v>108099.56953999997</v>
      </c>
      <c r="I222" s="62">
        <f t="shared" si="82"/>
        <v>90.559860017067564</v>
      </c>
    </row>
    <row r="223" spans="1:9" ht="12.75" x14ac:dyDescent="0.2">
      <c r="A223" s="2" t="s">
        <v>132</v>
      </c>
      <c r="B223" s="1" t="s">
        <v>70</v>
      </c>
      <c r="C223" s="1" t="s">
        <v>12</v>
      </c>
      <c r="D223" s="1"/>
      <c r="E223" s="1"/>
      <c r="F223" s="1"/>
      <c r="G223" s="63">
        <f>G224+G228+G235+G281+G270+G264+G275</f>
        <v>25049.046379999996</v>
      </c>
      <c r="H223" s="63">
        <f>H224+H228+H235+H281+H270+H264+H275</f>
        <v>24985.581279999991</v>
      </c>
      <c r="I223" s="63">
        <f t="shared" si="82"/>
        <v>99.746636662181771</v>
      </c>
    </row>
    <row r="224" spans="1:9" ht="24" x14ac:dyDescent="0.2">
      <c r="A224" s="2" t="s">
        <v>131</v>
      </c>
      <c r="B224" s="1" t="s">
        <v>70</v>
      </c>
      <c r="C224" s="1" t="s">
        <v>12</v>
      </c>
      <c r="D224" s="1" t="s">
        <v>23</v>
      </c>
      <c r="E224" s="1"/>
      <c r="F224" s="1"/>
      <c r="G224" s="63">
        <f t="shared" ref="G224:H224" si="98">G226</f>
        <v>2222.96164</v>
      </c>
      <c r="H224" s="63">
        <f t="shared" si="98"/>
        <v>2222.96164</v>
      </c>
      <c r="I224" s="63">
        <f t="shared" si="82"/>
        <v>100</v>
      </c>
    </row>
    <row r="225" spans="1:9" ht="12.75" x14ac:dyDescent="0.2">
      <c r="A225" s="2" t="s">
        <v>395</v>
      </c>
      <c r="B225" s="1" t="s">
        <v>70</v>
      </c>
      <c r="C225" s="1" t="s">
        <v>12</v>
      </c>
      <c r="D225" s="1" t="s">
        <v>23</v>
      </c>
      <c r="E225" s="1" t="s">
        <v>0</v>
      </c>
      <c r="F225" s="1"/>
      <c r="G225" s="63">
        <f>G226</f>
        <v>2222.96164</v>
      </c>
      <c r="H225" s="63">
        <f t="shared" ref="H225" si="99">H226</f>
        <v>2222.96164</v>
      </c>
      <c r="I225" s="63">
        <f t="shared" si="82"/>
        <v>100</v>
      </c>
    </row>
    <row r="226" spans="1:9" ht="12.75" x14ac:dyDescent="0.2">
      <c r="A226" s="2" t="s">
        <v>130</v>
      </c>
      <c r="B226" s="1" t="s">
        <v>70</v>
      </c>
      <c r="C226" s="1" t="s">
        <v>12</v>
      </c>
      <c r="D226" s="1" t="s">
        <v>23</v>
      </c>
      <c r="E226" s="1" t="s">
        <v>129</v>
      </c>
      <c r="F226" s="1"/>
      <c r="G226" s="92">
        <f t="shared" ref="G226:H226" si="100">G227</f>
        <v>2222.96164</v>
      </c>
      <c r="H226" s="92">
        <f t="shared" si="100"/>
        <v>2222.96164</v>
      </c>
      <c r="I226" s="63">
        <f t="shared" si="82"/>
        <v>100</v>
      </c>
    </row>
    <row r="227" spans="1:9" ht="48" x14ac:dyDescent="0.2">
      <c r="A227" s="2" t="s">
        <v>32</v>
      </c>
      <c r="B227" s="1" t="s">
        <v>70</v>
      </c>
      <c r="C227" s="1" t="s">
        <v>12</v>
      </c>
      <c r="D227" s="1" t="s">
        <v>23</v>
      </c>
      <c r="E227" s="1" t="s">
        <v>129</v>
      </c>
      <c r="F227" s="1" t="s">
        <v>29</v>
      </c>
      <c r="G227" s="92">
        <v>2222.96164</v>
      </c>
      <c r="H227" s="92">
        <f>1690.76355+532.19809</f>
        <v>2222.96164</v>
      </c>
      <c r="I227" s="63">
        <f t="shared" si="82"/>
        <v>100</v>
      </c>
    </row>
    <row r="228" spans="1:9" ht="36" x14ac:dyDescent="0.2">
      <c r="A228" s="2" t="s">
        <v>128</v>
      </c>
      <c r="B228" s="1" t="s">
        <v>70</v>
      </c>
      <c r="C228" s="1" t="s">
        <v>12</v>
      </c>
      <c r="D228" s="1" t="s">
        <v>6</v>
      </c>
      <c r="E228" s="1"/>
      <c r="F228" s="1"/>
      <c r="G228" s="63">
        <f t="shared" ref="G228:H228" si="101">G230+G232</f>
        <v>2134.7073700000001</v>
      </c>
      <c r="H228" s="63">
        <f t="shared" si="101"/>
        <v>2107.7073600000003</v>
      </c>
      <c r="I228" s="63">
        <f t="shared" si="82"/>
        <v>98.735189170214014</v>
      </c>
    </row>
    <row r="229" spans="1:9" ht="12.75" x14ac:dyDescent="0.2">
      <c r="A229" s="2" t="s">
        <v>395</v>
      </c>
      <c r="B229" s="1" t="s">
        <v>70</v>
      </c>
      <c r="C229" s="1" t="s">
        <v>12</v>
      </c>
      <c r="D229" s="1" t="s">
        <v>6</v>
      </c>
      <c r="E229" s="1" t="s">
        <v>0</v>
      </c>
      <c r="F229" s="1"/>
      <c r="G229" s="63">
        <f>G230+G232</f>
        <v>2134.7073700000001</v>
      </c>
      <c r="H229" s="63">
        <f t="shared" ref="H229" si="102">H230+H232</f>
        <v>2107.7073600000003</v>
      </c>
      <c r="I229" s="63">
        <f t="shared" si="82"/>
        <v>98.735189170214014</v>
      </c>
    </row>
    <row r="230" spans="1:9" ht="24" x14ac:dyDescent="0.2">
      <c r="A230" s="2" t="s">
        <v>127</v>
      </c>
      <c r="B230" s="1" t="s">
        <v>70</v>
      </c>
      <c r="C230" s="1" t="s">
        <v>12</v>
      </c>
      <c r="D230" s="1" t="s">
        <v>6</v>
      </c>
      <c r="E230" s="1" t="s">
        <v>126</v>
      </c>
      <c r="F230" s="1"/>
      <c r="G230" s="92">
        <f t="shared" ref="G230:H230" si="103">G231</f>
        <v>1251.6944100000001</v>
      </c>
      <c r="H230" s="92">
        <f t="shared" si="103"/>
        <v>1251.6944000000001</v>
      </c>
      <c r="I230" s="63">
        <f t="shared" si="82"/>
        <v>99.999999201082957</v>
      </c>
    </row>
    <row r="231" spans="1:9" ht="48" x14ac:dyDescent="0.2">
      <c r="A231" s="2" t="s">
        <v>32</v>
      </c>
      <c r="B231" s="1" t="s">
        <v>70</v>
      </c>
      <c r="C231" s="1" t="s">
        <v>12</v>
      </c>
      <c r="D231" s="1" t="s">
        <v>6</v>
      </c>
      <c r="E231" s="1" t="s">
        <v>126</v>
      </c>
      <c r="F231" s="1" t="s">
        <v>29</v>
      </c>
      <c r="G231" s="92">
        <f>962.29064+289.40377</f>
        <v>1251.6944100000001</v>
      </c>
      <c r="H231" s="92">
        <f>962.29064+289.40376</f>
        <v>1251.6944000000001</v>
      </c>
      <c r="I231" s="63">
        <f t="shared" si="82"/>
        <v>99.999999201082957</v>
      </c>
    </row>
    <row r="232" spans="1:9" ht="24.75" x14ac:dyDescent="0.25">
      <c r="A232" s="2" t="s">
        <v>125</v>
      </c>
      <c r="B232" s="1">
        <v>800</v>
      </c>
      <c r="C232" s="1" t="s">
        <v>12</v>
      </c>
      <c r="D232" s="1" t="s">
        <v>6</v>
      </c>
      <c r="E232" s="1" t="s">
        <v>124</v>
      </c>
      <c r="F232" s="1"/>
      <c r="G232" s="93">
        <f>G233</f>
        <v>883.01296000000002</v>
      </c>
      <c r="H232" s="93">
        <f>H233</f>
        <v>856.01296000000002</v>
      </c>
      <c r="I232" s="63">
        <f t="shared" si="82"/>
        <v>96.94228723437989</v>
      </c>
    </row>
    <row r="233" spans="1:9" ht="24.75" x14ac:dyDescent="0.25">
      <c r="A233" s="2" t="s">
        <v>123</v>
      </c>
      <c r="B233" s="1">
        <v>800</v>
      </c>
      <c r="C233" s="1" t="s">
        <v>12</v>
      </c>
      <c r="D233" s="1" t="s">
        <v>6</v>
      </c>
      <c r="E233" s="1" t="s">
        <v>122</v>
      </c>
      <c r="F233" s="1"/>
      <c r="G233" s="93">
        <f t="shared" ref="G233:H233" si="104">G234</f>
        <v>883.01296000000002</v>
      </c>
      <c r="H233" s="93">
        <f t="shared" si="104"/>
        <v>856.01296000000002</v>
      </c>
      <c r="I233" s="63">
        <f t="shared" si="82"/>
        <v>96.94228723437989</v>
      </c>
    </row>
    <row r="234" spans="1:9" ht="48.75" x14ac:dyDescent="0.25">
      <c r="A234" s="2" t="s">
        <v>32</v>
      </c>
      <c r="B234" s="1" t="s">
        <v>70</v>
      </c>
      <c r="C234" s="1" t="s">
        <v>12</v>
      </c>
      <c r="D234" s="1" t="s">
        <v>6</v>
      </c>
      <c r="E234" s="1" t="s">
        <v>122</v>
      </c>
      <c r="F234" s="1" t="s">
        <v>29</v>
      </c>
      <c r="G234" s="93">
        <f>430.27724+324+128.73572</f>
        <v>883.01296000000002</v>
      </c>
      <c r="H234" s="93">
        <f>430.27724+297+128.73572</f>
        <v>856.01296000000002</v>
      </c>
      <c r="I234" s="63">
        <f t="shared" si="82"/>
        <v>96.94228723437989</v>
      </c>
    </row>
    <row r="235" spans="1:9" ht="36" x14ac:dyDescent="0.2">
      <c r="A235" s="2" t="s">
        <v>121</v>
      </c>
      <c r="B235" s="1" t="s">
        <v>70</v>
      </c>
      <c r="C235" s="1" t="s">
        <v>12</v>
      </c>
      <c r="D235" s="1" t="s">
        <v>52</v>
      </c>
      <c r="E235" s="1"/>
      <c r="F235" s="1"/>
      <c r="G235" s="92">
        <f>G236+G247+G252+G257+G261</f>
        <v>17851.06927</v>
      </c>
      <c r="H235" s="92">
        <f t="shared" ref="H235" si="105">H236+H247+H252+H257+H261</f>
        <v>17832.352669999997</v>
      </c>
      <c r="I235" s="63">
        <f t="shared" si="82"/>
        <v>99.895151378794665</v>
      </c>
    </row>
    <row r="236" spans="1:9" ht="36" x14ac:dyDescent="0.2">
      <c r="A236" s="2" t="s">
        <v>396</v>
      </c>
      <c r="B236" s="1" t="s">
        <v>70</v>
      </c>
      <c r="C236" s="1" t="s">
        <v>12</v>
      </c>
      <c r="D236" s="1" t="s">
        <v>52</v>
      </c>
      <c r="E236" s="1" t="s">
        <v>4</v>
      </c>
      <c r="F236" s="1"/>
      <c r="G236" s="92">
        <f>G237</f>
        <v>16426.969270000001</v>
      </c>
      <c r="H236" s="92">
        <f t="shared" ref="H236" si="106">H237</f>
        <v>16408.599169999998</v>
      </c>
      <c r="I236" s="63">
        <f t="shared" si="82"/>
        <v>99.88817109414363</v>
      </c>
    </row>
    <row r="237" spans="1:9" ht="60" x14ac:dyDescent="0.2">
      <c r="A237" s="2" t="s">
        <v>420</v>
      </c>
      <c r="B237" s="1" t="s">
        <v>70</v>
      </c>
      <c r="C237" s="1" t="s">
        <v>12</v>
      </c>
      <c r="D237" s="1" t="s">
        <v>52</v>
      </c>
      <c r="E237" s="1" t="s">
        <v>500</v>
      </c>
      <c r="F237" s="1"/>
      <c r="G237" s="92">
        <f>G238+G244</f>
        <v>16426.969270000001</v>
      </c>
      <c r="H237" s="92">
        <f t="shared" ref="H237" si="107">H238+H244</f>
        <v>16408.599169999998</v>
      </c>
      <c r="I237" s="63">
        <f t="shared" si="82"/>
        <v>99.88817109414363</v>
      </c>
    </row>
    <row r="238" spans="1:9" ht="24" x14ac:dyDescent="0.2">
      <c r="A238" s="2" t="s">
        <v>208</v>
      </c>
      <c r="B238" s="1" t="s">
        <v>70</v>
      </c>
      <c r="C238" s="1" t="s">
        <v>12</v>
      </c>
      <c r="D238" s="1" t="s">
        <v>52</v>
      </c>
      <c r="E238" s="1" t="s">
        <v>501</v>
      </c>
      <c r="F238" s="1"/>
      <c r="G238" s="92">
        <f t="shared" ref="G238:H238" si="108">G239+G241</f>
        <v>14243.379270000001</v>
      </c>
      <c r="H238" s="92">
        <f t="shared" si="108"/>
        <v>14225.309119999998</v>
      </c>
      <c r="I238" s="63">
        <f t="shared" si="82"/>
        <v>99.873132985807217</v>
      </c>
    </row>
    <row r="239" spans="1:9" ht="24" x14ac:dyDescent="0.2">
      <c r="A239" s="2" t="s">
        <v>120</v>
      </c>
      <c r="B239" s="1" t="s">
        <v>70</v>
      </c>
      <c r="C239" s="1" t="s">
        <v>12</v>
      </c>
      <c r="D239" s="1" t="s">
        <v>52</v>
      </c>
      <c r="E239" s="1" t="s">
        <v>502</v>
      </c>
      <c r="F239" s="1"/>
      <c r="G239" s="92">
        <f t="shared" ref="G239:H239" si="109">G240</f>
        <v>13560.429270000001</v>
      </c>
      <c r="H239" s="92">
        <f t="shared" si="109"/>
        <v>13548.934999999998</v>
      </c>
      <c r="I239" s="63">
        <f t="shared" si="82"/>
        <v>99.915236680409279</v>
      </c>
    </row>
    <row r="240" spans="1:9" ht="48" x14ac:dyDescent="0.2">
      <c r="A240" s="2" t="s">
        <v>32</v>
      </c>
      <c r="B240" s="1" t="s">
        <v>70</v>
      </c>
      <c r="C240" s="1" t="s">
        <v>12</v>
      </c>
      <c r="D240" s="1" t="s">
        <v>52</v>
      </c>
      <c r="E240" s="1" t="s">
        <v>502</v>
      </c>
      <c r="F240" s="1" t="s">
        <v>29</v>
      </c>
      <c r="G240" s="92">
        <f>10457.00176+88.52+3014.90751</f>
        <v>13560.429270000001</v>
      </c>
      <c r="H240" s="92">
        <f>10457.00176+77.212+3014.72124</f>
        <v>13548.934999999998</v>
      </c>
      <c r="I240" s="63">
        <f t="shared" si="82"/>
        <v>99.915236680409279</v>
      </c>
    </row>
    <row r="241" spans="1:9" ht="24" x14ac:dyDescent="0.2">
      <c r="A241" s="2" t="s">
        <v>119</v>
      </c>
      <c r="B241" s="1" t="s">
        <v>70</v>
      </c>
      <c r="C241" s="1" t="s">
        <v>12</v>
      </c>
      <c r="D241" s="1" t="s">
        <v>52</v>
      </c>
      <c r="E241" s="1" t="s">
        <v>503</v>
      </c>
      <c r="F241" s="1"/>
      <c r="G241" s="92">
        <f t="shared" ref="G241:H241" si="110">G242+G243</f>
        <v>682.95</v>
      </c>
      <c r="H241" s="92">
        <f t="shared" si="110"/>
        <v>676.37411999999995</v>
      </c>
      <c r="I241" s="63">
        <f t="shared" si="82"/>
        <v>99.037135954315829</v>
      </c>
    </row>
    <row r="242" spans="1:9" ht="24" x14ac:dyDescent="0.2">
      <c r="A242" s="2" t="s">
        <v>40</v>
      </c>
      <c r="B242" s="1" t="s">
        <v>70</v>
      </c>
      <c r="C242" s="1" t="s">
        <v>12</v>
      </c>
      <c r="D242" s="1" t="s">
        <v>52</v>
      </c>
      <c r="E242" s="1" t="s">
        <v>503</v>
      </c>
      <c r="F242" s="1" t="s">
        <v>44</v>
      </c>
      <c r="G242" s="92">
        <v>682.95</v>
      </c>
      <c r="H242" s="92">
        <v>676.37411999999995</v>
      </c>
      <c r="I242" s="63">
        <f t="shared" si="82"/>
        <v>99.037135954315829</v>
      </c>
    </row>
    <row r="243" spans="1:9" ht="24" x14ac:dyDescent="0.2">
      <c r="A243" s="2" t="s">
        <v>64</v>
      </c>
      <c r="B243" s="1" t="s">
        <v>70</v>
      </c>
      <c r="C243" s="1" t="s">
        <v>12</v>
      </c>
      <c r="D243" s="1" t="s">
        <v>52</v>
      </c>
      <c r="E243" s="1" t="s">
        <v>503</v>
      </c>
      <c r="F243" s="1" t="s">
        <v>70</v>
      </c>
      <c r="G243" s="92"/>
      <c r="H243" s="92">
        <f>200-200</f>
        <v>0</v>
      </c>
      <c r="I243" s="63" t="e">
        <f t="shared" si="82"/>
        <v>#DIV/0!</v>
      </c>
    </row>
    <row r="244" spans="1:9" ht="12.75" x14ac:dyDescent="0.2">
      <c r="A244" s="2" t="s">
        <v>358</v>
      </c>
      <c r="B244" s="1" t="s">
        <v>70</v>
      </c>
      <c r="C244" s="1" t="s">
        <v>12</v>
      </c>
      <c r="D244" s="1" t="s">
        <v>52</v>
      </c>
      <c r="E244" s="1" t="s">
        <v>504</v>
      </c>
      <c r="F244" s="1"/>
      <c r="G244" s="92">
        <f>G245</f>
        <v>2183.59</v>
      </c>
      <c r="H244" s="92">
        <f t="shared" ref="H244" si="111">H245</f>
        <v>2183.2900500000001</v>
      </c>
      <c r="I244" s="63">
        <f t="shared" si="82"/>
        <v>99.986263446892494</v>
      </c>
    </row>
    <row r="245" spans="1:9" ht="48" x14ac:dyDescent="0.2">
      <c r="A245" s="2" t="s">
        <v>32</v>
      </c>
      <c r="B245" s="1" t="s">
        <v>70</v>
      </c>
      <c r="C245" s="1" t="s">
        <v>12</v>
      </c>
      <c r="D245" s="1" t="s">
        <v>52</v>
      </c>
      <c r="E245" s="1" t="s">
        <v>504</v>
      </c>
      <c r="F245" s="1" t="s">
        <v>29</v>
      </c>
      <c r="G245" s="92">
        <f>1677.10422+506.48578</f>
        <v>2183.59</v>
      </c>
      <c r="H245" s="92">
        <f>1677.10422+506.18583</f>
        <v>2183.2900500000001</v>
      </c>
      <c r="I245" s="63">
        <f t="shared" si="82"/>
        <v>99.986263446892494</v>
      </c>
    </row>
    <row r="246" spans="1:9" ht="24" x14ac:dyDescent="0.2">
      <c r="A246" s="2" t="s">
        <v>394</v>
      </c>
      <c r="B246" s="1" t="s">
        <v>70</v>
      </c>
      <c r="C246" s="1" t="s">
        <v>12</v>
      </c>
      <c r="D246" s="1" t="s">
        <v>52</v>
      </c>
      <c r="E246" s="1" t="s">
        <v>3</v>
      </c>
      <c r="F246" s="1"/>
      <c r="G246" s="92">
        <f>G247</f>
        <v>88.6</v>
      </c>
      <c r="H246" s="92">
        <f t="shared" ref="H246" si="112">H247</f>
        <v>88.6</v>
      </c>
      <c r="I246" s="63">
        <f t="shared" si="82"/>
        <v>100</v>
      </c>
    </row>
    <row r="247" spans="1:9" ht="36" x14ac:dyDescent="0.2">
      <c r="A247" s="2" t="s">
        <v>209</v>
      </c>
      <c r="B247" s="1" t="s">
        <v>70</v>
      </c>
      <c r="C247" s="1" t="s">
        <v>12</v>
      </c>
      <c r="D247" s="1" t="s">
        <v>52</v>
      </c>
      <c r="E247" s="1" t="s">
        <v>50</v>
      </c>
      <c r="F247" s="1"/>
      <c r="G247" s="94">
        <f t="shared" ref="G247:H248" si="113">G248</f>
        <v>88.6</v>
      </c>
      <c r="H247" s="94">
        <f t="shared" si="113"/>
        <v>88.6</v>
      </c>
      <c r="I247" s="63">
        <f t="shared" si="82"/>
        <v>100</v>
      </c>
    </row>
    <row r="248" spans="1:9" ht="24" x14ac:dyDescent="0.2">
      <c r="A248" s="2" t="s">
        <v>48</v>
      </c>
      <c r="B248" s="1" t="s">
        <v>70</v>
      </c>
      <c r="C248" s="1" t="s">
        <v>12</v>
      </c>
      <c r="D248" s="1" t="s">
        <v>52</v>
      </c>
      <c r="E248" s="1" t="s">
        <v>210</v>
      </c>
      <c r="F248" s="1"/>
      <c r="G248" s="94">
        <f t="shared" si="113"/>
        <v>88.6</v>
      </c>
      <c r="H248" s="94">
        <f t="shared" si="113"/>
        <v>88.6</v>
      </c>
      <c r="I248" s="63">
        <f t="shared" si="82"/>
        <v>100</v>
      </c>
    </row>
    <row r="249" spans="1:9" ht="36" x14ac:dyDescent="0.2">
      <c r="A249" s="2" t="s">
        <v>253</v>
      </c>
      <c r="B249" s="1" t="s">
        <v>70</v>
      </c>
      <c r="C249" s="1" t="s">
        <v>12</v>
      </c>
      <c r="D249" s="1" t="s">
        <v>52</v>
      </c>
      <c r="E249" s="1" t="s">
        <v>49</v>
      </c>
      <c r="F249" s="1"/>
      <c r="G249" s="94">
        <f t="shared" ref="G249:H249" si="114">G250</f>
        <v>88.6</v>
      </c>
      <c r="H249" s="94">
        <f t="shared" si="114"/>
        <v>88.6</v>
      </c>
      <c r="I249" s="63">
        <f t="shared" si="82"/>
        <v>100</v>
      </c>
    </row>
    <row r="250" spans="1:9" ht="48" x14ac:dyDescent="0.2">
      <c r="A250" s="2" t="s">
        <v>32</v>
      </c>
      <c r="B250" s="1" t="s">
        <v>70</v>
      </c>
      <c r="C250" s="1" t="s">
        <v>12</v>
      </c>
      <c r="D250" s="1" t="s">
        <v>52</v>
      </c>
      <c r="E250" s="1" t="s">
        <v>49</v>
      </c>
      <c r="F250" s="1" t="s">
        <v>29</v>
      </c>
      <c r="G250" s="94">
        <f>68.04912+20.55088</f>
        <v>88.6</v>
      </c>
      <c r="H250" s="94">
        <f>68.04912+20.55088</f>
        <v>88.6</v>
      </c>
      <c r="I250" s="63">
        <f t="shared" si="82"/>
        <v>100</v>
      </c>
    </row>
    <row r="251" spans="1:9" ht="36" x14ac:dyDescent="0.2">
      <c r="A251" s="2" t="s">
        <v>199</v>
      </c>
      <c r="B251" s="1" t="s">
        <v>70</v>
      </c>
      <c r="C251" s="1" t="s">
        <v>12</v>
      </c>
      <c r="D251" s="1" t="s">
        <v>52</v>
      </c>
      <c r="E251" s="1" t="s">
        <v>1</v>
      </c>
      <c r="F251" s="1"/>
      <c r="G251" s="94">
        <f>G252+G257</f>
        <v>1316.5</v>
      </c>
      <c r="H251" s="94">
        <f t="shared" ref="H251" si="115">H252+H257</f>
        <v>1316.2</v>
      </c>
      <c r="I251" s="63">
        <f t="shared" si="82"/>
        <v>99.97721230535511</v>
      </c>
    </row>
    <row r="252" spans="1:9" ht="48.75" x14ac:dyDescent="0.25">
      <c r="A252" s="2" t="s">
        <v>269</v>
      </c>
      <c r="B252" s="1" t="s">
        <v>70</v>
      </c>
      <c r="C252" s="1" t="s">
        <v>12</v>
      </c>
      <c r="D252" s="1" t="s">
        <v>52</v>
      </c>
      <c r="E252" s="1" t="s">
        <v>81</v>
      </c>
      <c r="F252" s="1"/>
      <c r="G252" s="95">
        <f>G253</f>
        <v>1316.2</v>
      </c>
      <c r="H252" s="95">
        <f>H253</f>
        <v>1316.2</v>
      </c>
      <c r="I252" s="63">
        <f t="shared" si="82"/>
        <v>100</v>
      </c>
    </row>
    <row r="253" spans="1:9" ht="24.75" x14ac:dyDescent="0.25">
      <c r="A253" s="2" t="s">
        <v>211</v>
      </c>
      <c r="B253" s="1" t="s">
        <v>70</v>
      </c>
      <c r="C253" s="1" t="s">
        <v>12</v>
      </c>
      <c r="D253" s="1" t="s">
        <v>52</v>
      </c>
      <c r="E253" s="1" t="s">
        <v>270</v>
      </c>
      <c r="F253" s="1"/>
      <c r="G253" s="95">
        <f t="shared" ref="G253:H253" si="116">G254</f>
        <v>1316.2</v>
      </c>
      <c r="H253" s="95">
        <f t="shared" si="116"/>
        <v>1316.2</v>
      </c>
      <c r="I253" s="63">
        <f t="shared" si="82"/>
        <v>100</v>
      </c>
    </row>
    <row r="254" spans="1:9" ht="36.75" x14ac:dyDescent="0.25">
      <c r="A254" s="2" t="s">
        <v>212</v>
      </c>
      <c r="B254" s="1" t="s">
        <v>70</v>
      </c>
      <c r="C254" s="1" t="s">
        <v>12</v>
      </c>
      <c r="D254" s="1" t="s">
        <v>52</v>
      </c>
      <c r="E254" s="1" t="s">
        <v>271</v>
      </c>
      <c r="F254" s="1"/>
      <c r="G254" s="95">
        <f t="shared" ref="G254:H254" si="117">G255+G256</f>
        <v>1316.2</v>
      </c>
      <c r="H254" s="95">
        <f t="shared" si="117"/>
        <v>1316.2</v>
      </c>
      <c r="I254" s="63">
        <f t="shared" si="82"/>
        <v>100</v>
      </c>
    </row>
    <row r="255" spans="1:9" ht="48.75" x14ac:dyDescent="0.25">
      <c r="A255" s="2" t="s">
        <v>32</v>
      </c>
      <c r="B255" s="1" t="s">
        <v>70</v>
      </c>
      <c r="C255" s="1" t="s">
        <v>12</v>
      </c>
      <c r="D255" s="1" t="s">
        <v>52</v>
      </c>
      <c r="E255" s="1" t="s">
        <v>271</v>
      </c>
      <c r="F255" s="1" t="s">
        <v>29</v>
      </c>
      <c r="G255" s="95">
        <v>1155.04727</v>
      </c>
      <c r="H255" s="95">
        <f>232.99385+69.15615+650.70145+8.1+194.09582</f>
        <v>1155.04727</v>
      </c>
      <c r="I255" s="63">
        <f t="shared" ref="I255:I312" si="118">H255/G255*100</f>
        <v>100</v>
      </c>
    </row>
    <row r="256" spans="1:9" ht="24.75" x14ac:dyDescent="0.25">
      <c r="A256" s="2" t="s">
        <v>40</v>
      </c>
      <c r="B256" s="1" t="s">
        <v>70</v>
      </c>
      <c r="C256" s="1" t="s">
        <v>12</v>
      </c>
      <c r="D256" s="1" t="s">
        <v>52</v>
      </c>
      <c r="E256" s="1" t="s">
        <v>271</v>
      </c>
      <c r="F256" s="1" t="s">
        <v>44</v>
      </c>
      <c r="G256" s="95">
        <v>161.15272999999999</v>
      </c>
      <c r="H256" s="95">
        <v>161.15272999999999</v>
      </c>
      <c r="I256" s="63">
        <f t="shared" si="118"/>
        <v>100</v>
      </c>
    </row>
    <row r="257" spans="1:9" ht="48.75" x14ac:dyDescent="0.25">
      <c r="A257" s="2" t="s">
        <v>291</v>
      </c>
      <c r="B257" s="1" t="s">
        <v>70</v>
      </c>
      <c r="C257" s="1" t="s">
        <v>12</v>
      </c>
      <c r="D257" s="1" t="s">
        <v>52</v>
      </c>
      <c r="E257" s="1" t="s">
        <v>79</v>
      </c>
      <c r="F257" s="1"/>
      <c r="G257" s="95">
        <f>G258</f>
        <v>0.3</v>
      </c>
      <c r="H257" s="95">
        <f t="shared" ref="H257:H259" si="119">H258</f>
        <v>0</v>
      </c>
      <c r="I257" s="63">
        <f t="shared" si="118"/>
        <v>0</v>
      </c>
    </row>
    <row r="258" spans="1:9" ht="24" x14ac:dyDescent="0.25">
      <c r="A258" s="5" t="s">
        <v>345</v>
      </c>
      <c r="B258" s="1" t="s">
        <v>70</v>
      </c>
      <c r="C258" s="1" t="s">
        <v>12</v>
      </c>
      <c r="D258" s="1" t="s">
        <v>52</v>
      </c>
      <c r="E258" s="1" t="s">
        <v>347</v>
      </c>
      <c r="F258" s="1"/>
      <c r="G258" s="95">
        <f>G259</f>
        <v>0.3</v>
      </c>
      <c r="H258" s="95">
        <f t="shared" si="119"/>
        <v>0</v>
      </c>
      <c r="I258" s="63">
        <f t="shared" si="118"/>
        <v>0</v>
      </c>
    </row>
    <row r="259" spans="1:9" ht="48" x14ac:dyDescent="0.25">
      <c r="A259" s="5" t="s">
        <v>346</v>
      </c>
      <c r="B259" s="1" t="s">
        <v>70</v>
      </c>
      <c r="C259" s="1" t="s">
        <v>12</v>
      </c>
      <c r="D259" s="1" t="s">
        <v>52</v>
      </c>
      <c r="E259" s="1" t="s">
        <v>348</v>
      </c>
      <c r="F259" s="1"/>
      <c r="G259" s="95">
        <f>G260</f>
        <v>0.3</v>
      </c>
      <c r="H259" s="95">
        <f t="shared" si="119"/>
        <v>0</v>
      </c>
      <c r="I259" s="63">
        <f t="shared" si="118"/>
        <v>0</v>
      </c>
    </row>
    <row r="260" spans="1:9" ht="26.25" customHeight="1" x14ac:dyDescent="0.25">
      <c r="A260" s="2" t="s">
        <v>40</v>
      </c>
      <c r="B260" s="1" t="s">
        <v>70</v>
      </c>
      <c r="C260" s="1" t="s">
        <v>12</v>
      </c>
      <c r="D260" s="1" t="s">
        <v>52</v>
      </c>
      <c r="E260" s="1" t="s">
        <v>348</v>
      </c>
      <c r="F260" s="1" t="s">
        <v>44</v>
      </c>
      <c r="G260" s="95">
        <v>0.3</v>
      </c>
      <c r="H260" s="95">
        <v>0</v>
      </c>
      <c r="I260" s="63">
        <f t="shared" si="118"/>
        <v>0</v>
      </c>
    </row>
    <row r="261" spans="1:9" ht="17.25" customHeight="1" x14ac:dyDescent="0.2">
      <c r="A261" s="2" t="s">
        <v>395</v>
      </c>
      <c r="B261" s="1" t="s">
        <v>70</v>
      </c>
      <c r="C261" s="1" t="s">
        <v>12</v>
      </c>
      <c r="D261" s="1" t="s">
        <v>52</v>
      </c>
      <c r="E261" s="1" t="s">
        <v>0</v>
      </c>
      <c r="F261" s="1"/>
      <c r="G261" s="63">
        <f>G262</f>
        <v>19</v>
      </c>
      <c r="H261" s="63">
        <f t="shared" ref="H261:H262" si="120">H262</f>
        <v>18.953499999999998</v>
      </c>
      <c r="I261" s="63">
        <f t="shared" si="118"/>
        <v>99.755263157894731</v>
      </c>
    </row>
    <row r="262" spans="1:9" ht="26.25" customHeight="1" x14ac:dyDescent="0.25">
      <c r="A262" s="2" t="s">
        <v>452</v>
      </c>
      <c r="B262" s="1" t="s">
        <v>70</v>
      </c>
      <c r="C262" s="1" t="s">
        <v>12</v>
      </c>
      <c r="D262" s="1" t="s">
        <v>52</v>
      </c>
      <c r="E262" s="1" t="s">
        <v>451</v>
      </c>
      <c r="F262" s="1"/>
      <c r="G262" s="95">
        <f>G263</f>
        <v>19</v>
      </c>
      <c r="H262" s="95">
        <f t="shared" si="120"/>
        <v>18.953499999999998</v>
      </c>
      <c r="I262" s="63">
        <f t="shared" si="118"/>
        <v>99.755263157894731</v>
      </c>
    </row>
    <row r="263" spans="1:9" ht="17.25" customHeight="1" x14ac:dyDescent="0.25">
      <c r="A263" s="5" t="s">
        <v>64</v>
      </c>
      <c r="B263" s="1" t="s">
        <v>70</v>
      </c>
      <c r="C263" s="1" t="s">
        <v>12</v>
      </c>
      <c r="D263" s="1" t="s">
        <v>52</v>
      </c>
      <c r="E263" s="1" t="s">
        <v>451</v>
      </c>
      <c r="F263" s="1" t="s">
        <v>70</v>
      </c>
      <c r="G263" s="95">
        <v>19</v>
      </c>
      <c r="H263" s="95">
        <f>15+3.9535</f>
        <v>18.953499999999998</v>
      </c>
      <c r="I263" s="63">
        <f t="shared" si="118"/>
        <v>99.755263157894731</v>
      </c>
    </row>
    <row r="264" spans="1:9" ht="12.75" x14ac:dyDescent="0.2">
      <c r="A264" s="2" t="s">
        <v>177</v>
      </c>
      <c r="B264" s="1" t="s">
        <v>70</v>
      </c>
      <c r="C264" s="1" t="s">
        <v>12</v>
      </c>
      <c r="D264" s="1" t="s">
        <v>30</v>
      </c>
      <c r="E264" s="1"/>
      <c r="F264" s="1"/>
      <c r="G264" s="94">
        <f>+G266</f>
        <v>9.4</v>
      </c>
      <c r="H264" s="94">
        <f t="shared" ref="H264" si="121">+H266</f>
        <v>0</v>
      </c>
      <c r="I264" s="63">
        <f t="shared" si="118"/>
        <v>0</v>
      </c>
    </row>
    <row r="265" spans="1:9" ht="24" x14ac:dyDescent="0.2">
      <c r="A265" s="2" t="s">
        <v>431</v>
      </c>
      <c r="B265" s="1" t="s">
        <v>70</v>
      </c>
      <c r="C265" s="1" t="s">
        <v>12</v>
      </c>
      <c r="D265" s="1" t="s">
        <v>30</v>
      </c>
      <c r="E265" s="1" t="s">
        <v>2</v>
      </c>
      <c r="F265" s="1"/>
      <c r="G265" s="63">
        <f>G266</f>
        <v>9.4</v>
      </c>
      <c r="H265" s="63">
        <f t="shared" ref="H265" si="122">H266</f>
        <v>0</v>
      </c>
      <c r="I265" s="63">
        <f t="shared" si="118"/>
        <v>0</v>
      </c>
    </row>
    <row r="266" spans="1:9" ht="48" x14ac:dyDescent="0.2">
      <c r="A266" s="2" t="s">
        <v>267</v>
      </c>
      <c r="B266" s="1" t="s">
        <v>70</v>
      </c>
      <c r="C266" s="1" t="s">
        <v>12</v>
      </c>
      <c r="D266" s="1" t="s">
        <v>30</v>
      </c>
      <c r="E266" s="1" t="s">
        <v>11</v>
      </c>
      <c r="F266" s="1"/>
      <c r="G266" s="88">
        <f t="shared" ref="G266:H268" si="123">G267</f>
        <v>9.4</v>
      </c>
      <c r="H266" s="88">
        <f t="shared" si="123"/>
        <v>0</v>
      </c>
      <c r="I266" s="63">
        <f t="shared" si="118"/>
        <v>0</v>
      </c>
    </row>
    <row r="267" spans="1:9" ht="36" x14ac:dyDescent="0.2">
      <c r="A267" s="2" t="s">
        <v>274</v>
      </c>
      <c r="B267" s="1" t="s">
        <v>70</v>
      </c>
      <c r="C267" s="1" t="s">
        <v>12</v>
      </c>
      <c r="D267" s="1" t="s">
        <v>30</v>
      </c>
      <c r="E267" s="1" t="s">
        <v>9</v>
      </c>
      <c r="F267" s="1"/>
      <c r="G267" s="88">
        <f t="shared" si="123"/>
        <v>9.4</v>
      </c>
      <c r="H267" s="88">
        <f t="shared" si="123"/>
        <v>0</v>
      </c>
      <c r="I267" s="63">
        <f t="shared" si="118"/>
        <v>0</v>
      </c>
    </row>
    <row r="268" spans="1:9" ht="36" x14ac:dyDescent="0.2">
      <c r="A268" s="2" t="s">
        <v>106</v>
      </c>
      <c r="B268" s="1" t="s">
        <v>70</v>
      </c>
      <c r="C268" s="1" t="s">
        <v>12</v>
      </c>
      <c r="D268" s="1" t="s">
        <v>30</v>
      </c>
      <c r="E268" s="1" t="s">
        <v>330</v>
      </c>
      <c r="F268" s="1"/>
      <c r="G268" s="88">
        <f t="shared" si="123"/>
        <v>9.4</v>
      </c>
      <c r="H268" s="88">
        <f t="shared" si="123"/>
        <v>0</v>
      </c>
      <c r="I268" s="63">
        <f t="shared" si="118"/>
        <v>0</v>
      </c>
    </row>
    <row r="269" spans="1:9" ht="24" x14ac:dyDescent="0.2">
      <c r="A269" s="2" t="s">
        <v>40</v>
      </c>
      <c r="B269" s="1" t="s">
        <v>70</v>
      </c>
      <c r="C269" s="1" t="s">
        <v>12</v>
      </c>
      <c r="D269" s="1" t="s">
        <v>30</v>
      </c>
      <c r="E269" s="1" t="s">
        <v>330</v>
      </c>
      <c r="F269" s="1" t="s">
        <v>44</v>
      </c>
      <c r="G269" s="88">
        <v>9.4</v>
      </c>
      <c r="H269" s="88">
        <v>0</v>
      </c>
      <c r="I269" s="63">
        <f t="shared" si="118"/>
        <v>0</v>
      </c>
    </row>
    <row r="270" spans="1:9" ht="24" x14ac:dyDescent="0.2">
      <c r="A270" s="2" t="s">
        <v>118</v>
      </c>
      <c r="B270" s="1" t="s">
        <v>70</v>
      </c>
      <c r="C270" s="1" t="s">
        <v>12</v>
      </c>
      <c r="D270" s="1" t="s">
        <v>46</v>
      </c>
      <c r="E270" s="1"/>
      <c r="F270" s="1"/>
      <c r="G270" s="63">
        <f t="shared" ref="G270:H270" si="124">G272</f>
        <v>1201.99172</v>
      </c>
      <c r="H270" s="63">
        <f t="shared" si="124"/>
        <v>1201.99171</v>
      </c>
      <c r="I270" s="63">
        <f t="shared" si="118"/>
        <v>99.999999168047509</v>
      </c>
    </row>
    <row r="271" spans="1:9" ht="12.75" x14ac:dyDescent="0.2">
      <c r="A271" s="2" t="s">
        <v>395</v>
      </c>
      <c r="B271" s="1" t="s">
        <v>70</v>
      </c>
      <c r="C271" s="1" t="s">
        <v>12</v>
      </c>
      <c r="D271" s="1" t="s">
        <v>46</v>
      </c>
      <c r="E271" s="1" t="s">
        <v>0</v>
      </c>
      <c r="F271" s="1"/>
      <c r="G271" s="63">
        <f>G272</f>
        <v>1201.99172</v>
      </c>
      <c r="H271" s="63">
        <f t="shared" ref="H271:H272" si="125">H272</f>
        <v>1201.99171</v>
      </c>
      <c r="I271" s="63">
        <f t="shared" si="118"/>
        <v>99.999999168047509</v>
      </c>
    </row>
    <row r="272" spans="1:9" ht="24" x14ac:dyDescent="0.2">
      <c r="A272" s="2" t="s">
        <v>116</v>
      </c>
      <c r="B272" s="1" t="s">
        <v>70</v>
      </c>
      <c r="C272" s="1" t="s">
        <v>12</v>
      </c>
      <c r="D272" s="1" t="s">
        <v>46</v>
      </c>
      <c r="E272" s="1" t="s">
        <v>115</v>
      </c>
      <c r="F272" s="1"/>
      <c r="G272" s="88">
        <f>G273</f>
        <v>1201.99172</v>
      </c>
      <c r="H272" s="88">
        <f t="shared" si="125"/>
        <v>1201.99171</v>
      </c>
      <c r="I272" s="63">
        <f t="shared" si="118"/>
        <v>99.999999168047509</v>
      </c>
    </row>
    <row r="273" spans="1:9" ht="24" x14ac:dyDescent="0.2">
      <c r="A273" s="2" t="s">
        <v>114</v>
      </c>
      <c r="B273" s="1" t="s">
        <v>70</v>
      </c>
      <c r="C273" s="1" t="s">
        <v>12</v>
      </c>
      <c r="D273" s="1" t="s">
        <v>46</v>
      </c>
      <c r="E273" s="1" t="s">
        <v>113</v>
      </c>
      <c r="F273" s="1"/>
      <c r="G273" s="88">
        <f t="shared" ref="G273:H273" si="126">G274</f>
        <v>1201.99172</v>
      </c>
      <c r="H273" s="88">
        <f t="shared" si="126"/>
        <v>1201.99171</v>
      </c>
      <c r="I273" s="63">
        <f t="shared" si="118"/>
        <v>99.999999168047509</v>
      </c>
    </row>
    <row r="274" spans="1:9" ht="48" x14ac:dyDescent="0.2">
      <c r="A274" s="2" t="s">
        <v>32</v>
      </c>
      <c r="B274" s="1" t="s">
        <v>70</v>
      </c>
      <c r="C274" s="1" t="s">
        <v>12</v>
      </c>
      <c r="D274" s="1" t="s">
        <v>46</v>
      </c>
      <c r="E274" s="1" t="s">
        <v>113</v>
      </c>
      <c r="F274" s="1" t="s">
        <v>29</v>
      </c>
      <c r="G274" s="88">
        <f>925.04433+276.94739</f>
        <v>1201.99172</v>
      </c>
      <c r="H274" s="88">
        <f>925.04433+276.94738</f>
        <v>1201.99171</v>
      </c>
      <c r="I274" s="63">
        <f t="shared" si="118"/>
        <v>99.999999168047509</v>
      </c>
    </row>
    <row r="275" spans="1:9" ht="24" x14ac:dyDescent="0.2">
      <c r="A275" s="2" t="s">
        <v>118</v>
      </c>
      <c r="B275" s="1" t="s">
        <v>70</v>
      </c>
      <c r="C275" s="1" t="s">
        <v>12</v>
      </c>
      <c r="D275" s="1" t="s">
        <v>69</v>
      </c>
      <c r="E275" s="1"/>
      <c r="F275" s="1"/>
      <c r="G275" s="63">
        <f>G276</f>
        <v>255.8</v>
      </c>
      <c r="H275" s="63">
        <f t="shared" ref="H275" si="127">H276</f>
        <v>255.8</v>
      </c>
      <c r="I275" s="63">
        <f t="shared" si="118"/>
        <v>100</v>
      </c>
    </row>
    <row r="276" spans="1:9" ht="12.75" x14ac:dyDescent="0.2">
      <c r="A276" s="2" t="s">
        <v>395</v>
      </c>
      <c r="B276" s="1" t="s">
        <v>70</v>
      </c>
      <c r="C276" s="1" t="s">
        <v>12</v>
      </c>
      <c r="D276" s="1" t="s">
        <v>69</v>
      </c>
      <c r="E276" s="1" t="s">
        <v>0</v>
      </c>
      <c r="F276" s="1"/>
      <c r="G276" s="63">
        <f>G277+G279</f>
        <v>255.8</v>
      </c>
      <c r="H276" s="63">
        <f t="shared" ref="H276" si="128">H277+H279</f>
        <v>255.8</v>
      </c>
      <c r="I276" s="63">
        <f t="shared" si="118"/>
        <v>100</v>
      </c>
    </row>
    <row r="277" spans="1:9" ht="24" x14ac:dyDescent="0.2">
      <c r="A277" s="2" t="s">
        <v>379</v>
      </c>
      <c r="B277" s="1" t="s">
        <v>70</v>
      </c>
      <c r="C277" s="1" t="s">
        <v>12</v>
      </c>
      <c r="D277" s="1" t="s">
        <v>69</v>
      </c>
      <c r="E277" s="1" t="s">
        <v>380</v>
      </c>
      <c r="F277" s="1"/>
      <c r="G277" s="63">
        <f>G278</f>
        <v>141.80000000000001</v>
      </c>
      <c r="H277" s="63">
        <f t="shared" ref="H277" si="129">H278</f>
        <v>141.80000000000001</v>
      </c>
      <c r="I277" s="63">
        <f t="shared" si="118"/>
        <v>100</v>
      </c>
    </row>
    <row r="278" spans="1:9" ht="24" x14ac:dyDescent="0.2">
      <c r="A278" s="2" t="s">
        <v>40</v>
      </c>
      <c r="B278" s="1" t="s">
        <v>70</v>
      </c>
      <c r="C278" s="1" t="s">
        <v>12</v>
      </c>
      <c r="D278" s="1" t="s">
        <v>69</v>
      </c>
      <c r="E278" s="1" t="s">
        <v>380</v>
      </c>
      <c r="F278" s="1" t="s">
        <v>44</v>
      </c>
      <c r="G278" s="63">
        <v>141.80000000000001</v>
      </c>
      <c r="H278" s="88">
        <v>141.80000000000001</v>
      </c>
      <c r="I278" s="63">
        <f t="shared" si="118"/>
        <v>100</v>
      </c>
    </row>
    <row r="279" spans="1:9" ht="24" x14ac:dyDescent="0.2">
      <c r="A279" s="2" t="s">
        <v>379</v>
      </c>
      <c r="B279" s="1" t="s">
        <v>70</v>
      </c>
      <c r="C279" s="1" t="s">
        <v>12</v>
      </c>
      <c r="D279" s="1" t="s">
        <v>69</v>
      </c>
      <c r="E279" s="1" t="s">
        <v>37</v>
      </c>
      <c r="F279" s="1"/>
      <c r="G279" s="63">
        <f>G280</f>
        <v>114</v>
      </c>
      <c r="H279" s="63">
        <f t="shared" ref="H279" si="130">H280</f>
        <v>114</v>
      </c>
      <c r="I279" s="63">
        <f t="shared" si="118"/>
        <v>100</v>
      </c>
    </row>
    <row r="280" spans="1:9" ht="24" x14ac:dyDescent="0.2">
      <c r="A280" s="2" t="s">
        <v>40</v>
      </c>
      <c r="B280" s="1" t="s">
        <v>70</v>
      </c>
      <c r="C280" s="1" t="s">
        <v>12</v>
      </c>
      <c r="D280" s="1" t="s">
        <v>69</v>
      </c>
      <c r="E280" s="1" t="s">
        <v>526</v>
      </c>
      <c r="F280" s="1" t="s">
        <v>44</v>
      </c>
      <c r="G280" s="63">
        <v>114</v>
      </c>
      <c r="H280" s="88">
        <v>114</v>
      </c>
      <c r="I280" s="63">
        <f t="shared" si="118"/>
        <v>100</v>
      </c>
    </row>
    <row r="281" spans="1:9" ht="12.75" x14ac:dyDescent="0.2">
      <c r="A281" s="2" t="s">
        <v>110</v>
      </c>
      <c r="B281" s="1" t="s">
        <v>70</v>
      </c>
      <c r="C281" s="1" t="s">
        <v>12</v>
      </c>
      <c r="D281" s="1" t="s">
        <v>20</v>
      </c>
      <c r="E281" s="1"/>
      <c r="F281" s="1"/>
      <c r="G281" s="63">
        <f>G283+G288+G294</f>
        <v>1373.1163800000002</v>
      </c>
      <c r="H281" s="63">
        <f>H283+H288+H294</f>
        <v>1364.7679000000001</v>
      </c>
      <c r="I281" s="63">
        <f t="shared" si="118"/>
        <v>99.392004922408688</v>
      </c>
    </row>
    <row r="282" spans="1:9" ht="36" x14ac:dyDescent="0.2">
      <c r="A282" s="2" t="s">
        <v>396</v>
      </c>
      <c r="B282" s="1" t="s">
        <v>70</v>
      </c>
      <c r="C282" s="1" t="s">
        <v>12</v>
      </c>
      <c r="D282" s="1" t="s">
        <v>20</v>
      </c>
      <c r="E282" s="1" t="s">
        <v>4</v>
      </c>
      <c r="F282" s="1"/>
      <c r="G282" s="63">
        <f>G283</f>
        <v>208.61637999999999</v>
      </c>
      <c r="H282" s="63">
        <f t="shared" ref="H282:H283" si="131">H283</f>
        <v>200.2679</v>
      </c>
      <c r="I282" s="63">
        <f t="shared" si="118"/>
        <v>95.998166586919027</v>
      </c>
    </row>
    <row r="283" spans="1:9" ht="60" x14ac:dyDescent="0.2">
      <c r="A283" s="5" t="s">
        <v>214</v>
      </c>
      <c r="B283" s="1" t="s">
        <v>70</v>
      </c>
      <c r="C283" s="1" t="s">
        <v>12</v>
      </c>
      <c r="D283" s="1" t="s">
        <v>20</v>
      </c>
      <c r="E283" s="1" t="s">
        <v>26</v>
      </c>
      <c r="F283" s="1"/>
      <c r="G283" s="88">
        <f>G284</f>
        <v>208.61637999999999</v>
      </c>
      <c r="H283" s="88">
        <f t="shared" si="131"/>
        <v>200.2679</v>
      </c>
      <c r="I283" s="63">
        <f t="shared" si="118"/>
        <v>95.998166586919027</v>
      </c>
    </row>
    <row r="284" spans="1:9" ht="36" x14ac:dyDescent="0.2">
      <c r="A284" s="2" t="s">
        <v>350</v>
      </c>
      <c r="B284" s="1" t="s">
        <v>70</v>
      </c>
      <c r="C284" s="1" t="s">
        <v>12</v>
      </c>
      <c r="D284" s="1" t="s">
        <v>20</v>
      </c>
      <c r="E284" s="1" t="s">
        <v>351</v>
      </c>
      <c r="F284" s="1"/>
      <c r="G284" s="88">
        <f>G285</f>
        <v>208.61637999999999</v>
      </c>
      <c r="H284" s="88">
        <f t="shared" ref="H284:H285" si="132">H285</f>
        <v>200.2679</v>
      </c>
      <c r="I284" s="63">
        <f t="shared" si="118"/>
        <v>95.998166586919027</v>
      </c>
    </row>
    <row r="285" spans="1:9" ht="24" x14ac:dyDescent="0.2">
      <c r="A285" s="2" t="s">
        <v>349</v>
      </c>
      <c r="B285" s="1" t="s">
        <v>70</v>
      </c>
      <c r="C285" s="1" t="s">
        <v>12</v>
      </c>
      <c r="D285" s="1" t="s">
        <v>20</v>
      </c>
      <c r="E285" s="1" t="s">
        <v>352</v>
      </c>
      <c r="F285" s="1"/>
      <c r="G285" s="88">
        <f>G286</f>
        <v>208.61637999999999</v>
      </c>
      <c r="H285" s="88">
        <f t="shared" si="132"/>
        <v>200.2679</v>
      </c>
      <c r="I285" s="63">
        <f t="shared" si="118"/>
        <v>95.998166586919027</v>
      </c>
    </row>
    <row r="286" spans="1:9" ht="24" x14ac:dyDescent="0.2">
      <c r="A286" s="2" t="s">
        <v>40</v>
      </c>
      <c r="B286" s="1" t="s">
        <v>70</v>
      </c>
      <c r="C286" s="1" t="s">
        <v>12</v>
      </c>
      <c r="D286" s="1" t="s">
        <v>20</v>
      </c>
      <c r="E286" s="1" t="s">
        <v>352</v>
      </c>
      <c r="F286" s="1" t="s">
        <v>44</v>
      </c>
      <c r="G286" s="88">
        <f>208.61638</f>
        <v>208.61637999999999</v>
      </c>
      <c r="H286" s="88">
        <v>200.2679</v>
      </c>
      <c r="I286" s="63">
        <f t="shared" si="118"/>
        <v>95.998166586919027</v>
      </c>
    </row>
    <row r="287" spans="1:9" ht="24" x14ac:dyDescent="0.2">
      <c r="A287" s="2" t="s">
        <v>394</v>
      </c>
      <c r="B287" s="1" t="s">
        <v>70</v>
      </c>
      <c r="C287" s="1" t="s">
        <v>12</v>
      </c>
      <c r="D287" s="1" t="s">
        <v>20</v>
      </c>
      <c r="E287" s="1" t="s">
        <v>3</v>
      </c>
      <c r="F287" s="1"/>
      <c r="G287" s="63">
        <f>G288</f>
        <v>867.80000000000007</v>
      </c>
      <c r="H287" s="63">
        <f t="shared" ref="H287" si="133">H288</f>
        <v>867.80000000000007</v>
      </c>
      <c r="I287" s="63">
        <f t="shared" si="118"/>
        <v>100</v>
      </c>
    </row>
    <row r="288" spans="1:9" ht="36" x14ac:dyDescent="0.2">
      <c r="A288" s="2" t="s">
        <v>272</v>
      </c>
      <c r="B288" s="1" t="s">
        <v>70</v>
      </c>
      <c r="C288" s="1" t="s">
        <v>12</v>
      </c>
      <c r="D288" s="1" t="s">
        <v>20</v>
      </c>
      <c r="E288" s="1" t="s">
        <v>34</v>
      </c>
      <c r="F288" s="1"/>
      <c r="G288" s="88">
        <f t="shared" ref="G288:H289" si="134">G289</f>
        <v>867.80000000000007</v>
      </c>
      <c r="H288" s="88">
        <f t="shared" si="134"/>
        <v>867.80000000000007</v>
      </c>
      <c r="I288" s="63">
        <f t="shared" si="118"/>
        <v>100</v>
      </c>
    </row>
    <row r="289" spans="1:9" ht="36" x14ac:dyDescent="0.2">
      <c r="A289" s="2" t="s">
        <v>247</v>
      </c>
      <c r="B289" s="1" t="s">
        <v>70</v>
      </c>
      <c r="C289" s="1" t="s">
        <v>12</v>
      </c>
      <c r="D289" s="1" t="s">
        <v>20</v>
      </c>
      <c r="E289" s="1" t="s">
        <v>217</v>
      </c>
      <c r="F289" s="1"/>
      <c r="G289" s="88">
        <f t="shared" si="134"/>
        <v>867.80000000000007</v>
      </c>
      <c r="H289" s="88">
        <f t="shared" si="134"/>
        <v>867.80000000000007</v>
      </c>
      <c r="I289" s="63">
        <f t="shared" si="118"/>
        <v>100</v>
      </c>
    </row>
    <row r="290" spans="1:9" ht="72" x14ac:dyDescent="0.2">
      <c r="A290" s="2" t="s">
        <v>273</v>
      </c>
      <c r="B290" s="1" t="s">
        <v>70</v>
      </c>
      <c r="C290" s="1" t="s">
        <v>12</v>
      </c>
      <c r="D290" s="1" t="s">
        <v>20</v>
      </c>
      <c r="E290" s="1" t="s">
        <v>107</v>
      </c>
      <c r="F290" s="1"/>
      <c r="G290" s="88">
        <f t="shared" ref="G290:H290" si="135">G291+G292</f>
        <v>867.80000000000007</v>
      </c>
      <c r="H290" s="88">
        <f t="shared" si="135"/>
        <v>867.80000000000007</v>
      </c>
      <c r="I290" s="63">
        <f t="shared" si="118"/>
        <v>100</v>
      </c>
    </row>
    <row r="291" spans="1:9" ht="48" x14ac:dyDescent="0.2">
      <c r="A291" s="2" t="s">
        <v>32</v>
      </c>
      <c r="B291" s="1" t="s">
        <v>70</v>
      </c>
      <c r="C291" s="1" t="s">
        <v>12</v>
      </c>
      <c r="D291" s="1" t="s">
        <v>20</v>
      </c>
      <c r="E291" s="1" t="s">
        <v>107</v>
      </c>
      <c r="F291" s="1" t="s">
        <v>29</v>
      </c>
      <c r="G291" s="88">
        <v>833.86656000000005</v>
      </c>
      <c r="H291" s="88">
        <f>640.49526+2.436+190.9353</f>
        <v>833.86656000000005</v>
      </c>
      <c r="I291" s="63">
        <f t="shared" si="118"/>
        <v>100</v>
      </c>
    </row>
    <row r="292" spans="1:9" ht="24" x14ac:dyDescent="0.2">
      <c r="A292" s="2" t="s">
        <v>40</v>
      </c>
      <c r="B292" s="1" t="s">
        <v>70</v>
      </c>
      <c r="C292" s="1" t="s">
        <v>12</v>
      </c>
      <c r="D292" s="1" t="s">
        <v>20</v>
      </c>
      <c r="E292" s="1" t="s">
        <v>107</v>
      </c>
      <c r="F292" s="1" t="s">
        <v>44</v>
      </c>
      <c r="G292" s="88">
        <v>33.933439999999997</v>
      </c>
      <c r="H292" s="88">
        <v>33.933439999999997</v>
      </c>
      <c r="I292" s="63">
        <f t="shared" si="118"/>
        <v>100</v>
      </c>
    </row>
    <row r="293" spans="1:9" ht="24" x14ac:dyDescent="0.2">
      <c r="A293" s="2" t="s">
        <v>419</v>
      </c>
      <c r="B293" s="1" t="s">
        <v>70</v>
      </c>
      <c r="C293" s="1" t="s">
        <v>12</v>
      </c>
      <c r="D293" s="1" t="s">
        <v>20</v>
      </c>
      <c r="E293" s="1" t="s">
        <v>2</v>
      </c>
      <c r="F293" s="1"/>
      <c r="G293" s="63">
        <f>G294</f>
        <v>296.7</v>
      </c>
      <c r="H293" s="63">
        <f t="shared" ref="H293" si="136">H294</f>
        <v>296.7</v>
      </c>
      <c r="I293" s="63">
        <f t="shared" si="118"/>
        <v>100</v>
      </c>
    </row>
    <row r="294" spans="1:9" ht="24" x14ac:dyDescent="0.2">
      <c r="A294" s="2" t="s">
        <v>266</v>
      </c>
      <c r="B294" s="1" t="s">
        <v>70</v>
      </c>
      <c r="C294" s="1" t="s">
        <v>12</v>
      </c>
      <c r="D294" s="1" t="s">
        <v>20</v>
      </c>
      <c r="E294" s="1" t="s">
        <v>11</v>
      </c>
      <c r="F294" s="1"/>
      <c r="G294" s="88">
        <f t="shared" ref="G294:H294" si="137">G295</f>
        <v>296.7</v>
      </c>
      <c r="H294" s="88">
        <f t="shared" si="137"/>
        <v>296.7</v>
      </c>
      <c r="I294" s="63">
        <f t="shared" si="118"/>
        <v>100</v>
      </c>
    </row>
    <row r="295" spans="1:9" ht="36" x14ac:dyDescent="0.2">
      <c r="A295" s="2" t="s">
        <v>274</v>
      </c>
      <c r="B295" s="1" t="s">
        <v>70</v>
      </c>
      <c r="C295" s="1" t="s">
        <v>12</v>
      </c>
      <c r="D295" s="1" t="s">
        <v>20</v>
      </c>
      <c r="E295" s="1" t="s">
        <v>9</v>
      </c>
      <c r="F295" s="1"/>
      <c r="G295" s="88">
        <f t="shared" ref="G295:H295" si="138">G296+G298</f>
        <v>296.7</v>
      </c>
      <c r="H295" s="88">
        <f t="shared" si="138"/>
        <v>296.7</v>
      </c>
      <c r="I295" s="63">
        <f t="shared" si="118"/>
        <v>100</v>
      </c>
    </row>
    <row r="296" spans="1:9" ht="36" x14ac:dyDescent="0.2">
      <c r="A296" s="2" t="s">
        <v>254</v>
      </c>
      <c r="B296" s="1" t="s">
        <v>70</v>
      </c>
      <c r="C296" s="1" t="s">
        <v>12</v>
      </c>
      <c r="D296" s="1" t="s">
        <v>20</v>
      </c>
      <c r="E296" s="1" t="s">
        <v>275</v>
      </c>
      <c r="F296" s="1"/>
      <c r="G296" s="88">
        <f t="shared" ref="G296:H296" si="139">G297</f>
        <v>51.5</v>
      </c>
      <c r="H296" s="88">
        <f t="shared" si="139"/>
        <v>51.5</v>
      </c>
      <c r="I296" s="63">
        <f t="shared" si="118"/>
        <v>100</v>
      </c>
    </row>
    <row r="297" spans="1:9" ht="24" x14ac:dyDescent="0.2">
      <c r="A297" s="2" t="s">
        <v>40</v>
      </c>
      <c r="B297" s="1" t="s">
        <v>70</v>
      </c>
      <c r="C297" s="1" t="s">
        <v>12</v>
      </c>
      <c r="D297" s="1" t="s">
        <v>20</v>
      </c>
      <c r="E297" s="1" t="s">
        <v>275</v>
      </c>
      <c r="F297" s="1" t="s">
        <v>44</v>
      </c>
      <c r="G297" s="88">
        <v>51.5</v>
      </c>
      <c r="H297" s="88">
        <v>51.5</v>
      </c>
      <c r="I297" s="63">
        <f t="shared" si="118"/>
        <v>100</v>
      </c>
    </row>
    <row r="298" spans="1:9" ht="60" x14ac:dyDescent="0.2">
      <c r="A298" s="2" t="s">
        <v>255</v>
      </c>
      <c r="B298" s="1" t="s">
        <v>70</v>
      </c>
      <c r="C298" s="1" t="s">
        <v>12</v>
      </c>
      <c r="D298" s="1" t="s">
        <v>20</v>
      </c>
      <c r="E298" s="1" t="s">
        <v>276</v>
      </c>
      <c r="F298" s="1"/>
      <c r="G298" s="88">
        <f t="shared" ref="G298:H298" si="140">G299</f>
        <v>245.2</v>
      </c>
      <c r="H298" s="88">
        <f t="shared" si="140"/>
        <v>245.2</v>
      </c>
      <c r="I298" s="63">
        <f t="shared" si="118"/>
        <v>100</v>
      </c>
    </row>
    <row r="299" spans="1:9" ht="48" x14ac:dyDescent="0.2">
      <c r="A299" s="2" t="s">
        <v>32</v>
      </c>
      <c r="B299" s="1" t="s">
        <v>70</v>
      </c>
      <c r="C299" s="1" t="s">
        <v>12</v>
      </c>
      <c r="D299" s="1" t="s">
        <v>20</v>
      </c>
      <c r="E299" s="1" t="s">
        <v>276</v>
      </c>
      <c r="F299" s="1" t="s">
        <v>29</v>
      </c>
      <c r="G299" s="88">
        <f>188.32566+56.87434</f>
        <v>245.2</v>
      </c>
      <c r="H299" s="88">
        <f>188.32566+56.87434</f>
        <v>245.2</v>
      </c>
      <c r="I299" s="63">
        <f t="shared" si="118"/>
        <v>100</v>
      </c>
    </row>
    <row r="300" spans="1:9" ht="12.75" x14ac:dyDescent="0.2">
      <c r="A300" s="2" t="s">
        <v>104</v>
      </c>
      <c r="B300" s="1" t="s">
        <v>70</v>
      </c>
      <c r="C300" s="1" t="s">
        <v>6</v>
      </c>
      <c r="D300" s="1"/>
      <c r="E300" s="1"/>
      <c r="F300" s="1"/>
      <c r="G300" s="92">
        <f>G301+G320</f>
        <v>5313.3825000000006</v>
      </c>
      <c r="H300" s="92">
        <f>H301+H320</f>
        <v>5294.6315300000006</v>
      </c>
      <c r="I300" s="63">
        <f t="shared" si="118"/>
        <v>99.647099187758457</v>
      </c>
    </row>
    <row r="301" spans="1:9" ht="36" x14ac:dyDescent="0.2">
      <c r="A301" s="2" t="s">
        <v>103</v>
      </c>
      <c r="B301" s="1" t="s">
        <v>70</v>
      </c>
      <c r="C301" s="1" t="s">
        <v>6</v>
      </c>
      <c r="D301" s="1" t="s">
        <v>59</v>
      </c>
      <c r="E301" s="1"/>
      <c r="F301" s="1"/>
      <c r="G301" s="63">
        <f>G303+G311+G315</f>
        <v>5298.4250000000002</v>
      </c>
      <c r="H301" s="63">
        <f>H303+H311+H315</f>
        <v>5279.6740300000001</v>
      </c>
      <c r="I301" s="63">
        <f t="shared" si="118"/>
        <v>99.646102945686692</v>
      </c>
    </row>
    <row r="302" spans="1:9" ht="36" x14ac:dyDescent="0.2">
      <c r="A302" s="2" t="s">
        <v>199</v>
      </c>
      <c r="B302" s="1" t="s">
        <v>70</v>
      </c>
      <c r="C302" s="1" t="s">
        <v>6</v>
      </c>
      <c r="D302" s="1" t="s">
        <v>59</v>
      </c>
      <c r="E302" s="1" t="s">
        <v>1</v>
      </c>
      <c r="F302" s="1"/>
      <c r="G302" s="88">
        <f>G303+G311</f>
        <v>5136.6270000000004</v>
      </c>
      <c r="H302" s="88">
        <f>H303+H311</f>
        <v>5118.0760300000002</v>
      </c>
      <c r="I302" s="63">
        <f t="shared" si="118"/>
        <v>99.63884919033444</v>
      </c>
    </row>
    <row r="303" spans="1:9" ht="48.75" x14ac:dyDescent="0.25">
      <c r="A303" s="2" t="s">
        <v>248</v>
      </c>
      <c r="B303" s="1" t="s">
        <v>70</v>
      </c>
      <c r="C303" s="1" t="s">
        <v>6</v>
      </c>
      <c r="D303" s="1" t="s">
        <v>59</v>
      </c>
      <c r="E303" s="1" t="s">
        <v>201</v>
      </c>
      <c r="F303" s="1"/>
      <c r="G303" s="89">
        <f>G304+G309</f>
        <v>4680.76</v>
      </c>
      <c r="H303" s="89">
        <f>H304+H309</f>
        <v>4662.20903</v>
      </c>
      <c r="I303" s="63">
        <f t="shared" si="118"/>
        <v>99.603676112426186</v>
      </c>
    </row>
    <row r="304" spans="1:9" ht="24.75" x14ac:dyDescent="0.25">
      <c r="A304" s="2" t="s">
        <v>249</v>
      </c>
      <c r="B304" s="1" t="s">
        <v>70</v>
      </c>
      <c r="C304" s="1" t="s">
        <v>6</v>
      </c>
      <c r="D304" s="1" t="s">
        <v>59</v>
      </c>
      <c r="E304" s="1" t="s">
        <v>102</v>
      </c>
      <c r="F304" s="1"/>
      <c r="G304" s="89">
        <f t="shared" ref="G304:H304" si="141">G305+G307</f>
        <v>3395.67</v>
      </c>
      <c r="H304" s="89">
        <f t="shared" si="141"/>
        <v>3377.1190300000003</v>
      </c>
      <c r="I304" s="63">
        <f t="shared" si="118"/>
        <v>99.453687490244931</v>
      </c>
    </row>
    <row r="305" spans="1:9" x14ac:dyDescent="0.25">
      <c r="A305" s="2" t="s">
        <v>197</v>
      </c>
      <c r="B305" s="1" t="s">
        <v>70</v>
      </c>
      <c r="C305" s="1" t="s">
        <v>6</v>
      </c>
      <c r="D305" s="1" t="s">
        <v>59</v>
      </c>
      <c r="E305" s="1" t="s">
        <v>101</v>
      </c>
      <c r="F305" s="1"/>
      <c r="G305" s="89">
        <f t="shared" ref="G305:H305" si="142">G306</f>
        <v>3123.54</v>
      </c>
      <c r="H305" s="89">
        <f t="shared" si="142"/>
        <v>3104.9895900000001</v>
      </c>
      <c r="I305" s="63">
        <f t="shared" si="118"/>
        <v>99.406109414318379</v>
      </c>
    </row>
    <row r="306" spans="1:9" ht="48.75" x14ac:dyDescent="0.25">
      <c r="A306" s="2" t="s">
        <v>32</v>
      </c>
      <c r="B306" s="1" t="s">
        <v>70</v>
      </c>
      <c r="C306" s="1" t="s">
        <v>6</v>
      </c>
      <c r="D306" s="1" t="s">
        <v>59</v>
      </c>
      <c r="E306" s="1" t="s">
        <v>101</v>
      </c>
      <c r="F306" s="1">
        <v>100</v>
      </c>
      <c r="G306" s="89">
        <f>2399.03197+724.50803</f>
        <v>3123.54</v>
      </c>
      <c r="H306" s="89">
        <f>2395.06864+709.92095</f>
        <v>3104.9895900000001</v>
      </c>
      <c r="I306" s="63">
        <f t="shared" si="118"/>
        <v>99.406109414318379</v>
      </c>
    </row>
    <row r="307" spans="1:9" x14ac:dyDescent="0.25">
      <c r="A307" s="2" t="s">
        <v>198</v>
      </c>
      <c r="B307" s="1" t="s">
        <v>70</v>
      </c>
      <c r="C307" s="1" t="s">
        <v>6</v>
      </c>
      <c r="D307" s="1" t="s">
        <v>59</v>
      </c>
      <c r="E307" s="1" t="s">
        <v>100</v>
      </c>
      <c r="F307" s="1"/>
      <c r="G307" s="89">
        <f>G308</f>
        <v>272.13</v>
      </c>
      <c r="H307" s="89">
        <f>H308</f>
        <v>272.12943999999999</v>
      </c>
      <c r="I307" s="63">
        <f t="shared" si="118"/>
        <v>99.9997942159997</v>
      </c>
    </row>
    <row r="308" spans="1:9" ht="24.75" x14ac:dyDescent="0.25">
      <c r="A308" s="2" t="s">
        <v>40</v>
      </c>
      <c r="B308" s="1" t="s">
        <v>70</v>
      </c>
      <c r="C308" s="1" t="s">
        <v>6</v>
      </c>
      <c r="D308" s="1" t="s">
        <v>59</v>
      </c>
      <c r="E308" s="1" t="s">
        <v>100</v>
      </c>
      <c r="F308" s="1" t="s">
        <v>44</v>
      </c>
      <c r="G308" s="89">
        <v>272.13</v>
      </c>
      <c r="H308" s="89">
        <v>272.12943999999999</v>
      </c>
      <c r="I308" s="63">
        <f t="shared" si="118"/>
        <v>99.9997942159997</v>
      </c>
    </row>
    <row r="309" spans="1:9" x14ac:dyDescent="0.25">
      <c r="A309" s="2" t="s">
        <v>358</v>
      </c>
      <c r="B309" s="1" t="s">
        <v>70</v>
      </c>
      <c r="C309" s="1" t="s">
        <v>6</v>
      </c>
      <c r="D309" s="1" t="s">
        <v>59</v>
      </c>
      <c r="E309" s="1" t="s">
        <v>361</v>
      </c>
      <c r="F309" s="1"/>
      <c r="G309" s="89">
        <f>G310</f>
        <v>1285.0899999999999</v>
      </c>
      <c r="H309" s="89">
        <f t="shared" ref="H309" si="143">H310</f>
        <v>1285.0899999999999</v>
      </c>
      <c r="I309" s="63">
        <f t="shared" si="118"/>
        <v>100</v>
      </c>
    </row>
    <row r="310" spans="1:9" ht="48.75" x14ac:dyDescent="0.25">
      <c r="A310" s="2" t="s">
        <v>32</v>
      </c>
      <c r="B310" s="1" t="s">
        <v>70</v>
      </c>
      <c r="C310" s="1" t="s">
        <v>6</v>
      </c>
      <c r="D310" s="1" t="s">
        <v>59</v>
      </c>
      <c r="E310" s="1" t="s">
        <v>361</v>
      </c>
      <c r="F310" s="1" t="s">
        <v>29</v>
      </c>
      <c r="G310" s="89">
        <f>987.01195+298.07805</f>
        <v>1285.0899999999999</v>
      </c>
      <c r="H310" s="89">
        <f>987.01195+298.07805</f>
        <v>1285.0899999999999</v>
      </c>
      <c r="I310" s="63">
        <f t="shared" si="118"/>
        <v>100</v>
      </c>
    </row>
    <row r="311" spans="1:9" ht="48.75" x14ac:dyDescent="0.25">
      <c r="A311" s="2" t="s">
        <v>218</v>
      </c>
      <c r="B311" s="1" t="s">
        <v>70</v>
      </c>
      <c r="C311" s="1" t="s">
        <v>6</v>
      </c>
      <c r="D311" s="1" t="s">
        <v>59</v>
      </c>
      <c r="E311" s="1" t="s">
        <v>81</v>
      </c>
      <c r="F311" s="1"/>
      <c r="G311" s="90">
        <f t="shared" ref="G311:H311" si="144">G312</f>
        <v>455.86700000000002</v>
      </c>
      <c r="H311" s="90">
        <f t="shared" si="144"/>
        <v>455.86700000000002</v>
      </c>
      <c r="I311" s="63">
        <f t="shared" si="118"/>
        <v>100</v>
      </c>
    </row>
    <row r="312" spans="1:9" ht="60.75" x14ac:dyDescent="0.25">
      <c r="A312" s="2" t="s">
        <v>409</v>
      </c>
      <c r="B312" s="1" t="s">
        <v>70</v>
      </c>
      <c r="C312" s="1" t="s">
        <v>6</v>
      </c>
      <c r="D312" s="1" t="s">
        <v>59</v>
      </c>
      <c r="E312" s="1" t="s">
        <v>410</v>
      </c>
      <c r="F312" s="1"/>
      <c r="G312" s="90">
        <f t="shared" ref="G312:H312" si="145">G313</f>
        <v>455.86700000000002</v>
      </c>
      <c r="H312" s="90">
        <f t="shared" si="145"/>
        <v>455.86700000000002</v>
      </c>
      <c r="I312" s="63">
        <f t="shared" si="118"/>
        <v>100</v>
      </c>
    </row>
    <row r="313" spans="1:9" ht="36.75" x14ac:dyDescent="0.25">
      <c r="A313" s="2" t="s">
        <v>418</v>
      </c>
      <c r="B313" s="1" t="s">
        <v>70</v>
      </c>
      <c r="C313" s="1" t="s">
        <v>6</v>
      </c>
      <c r="D313" s="1" t="s">
        <v>59</v>
      </c>
      <c r="E313" s="1" t="s">
        <v>411</v>
      </c>
      <c r="F313" s="1"/>
      <c r="G313" s="90">
        <f>G314</f>
        <v>455.86700000000002</v>
      </c>
      <c r="H313" s="90">
        <f>H314</f>
        <v>455.86700000000002</v>
      </c>
      <c r="I313" s="63">
        <f t="shared" ref="I313:I369" si="146">H313/G313*100</f>
        <v>100</v>
      </c>
    </row>
    <row r="314" spans="1:9" ht="24.75" x14ac:dyDescent="0.25">
      <c r="A314" s="2" t="s">
        <v>40</v>
      </c>
      <c r="B314" s="1" t="s">
        <v>70</v>
      </c>
      <c r="C314" s="1" t="s">
        <v>6</v>
      </c>
      <c r="D314" s="1" t="s">
        <v>59</v>
      </c>
      <c r="E314" s="1" t="s">
        <v>411</v>
      </c>
      <c r="F314" s="1" t="s">
        <v>44</v>
      </c>
      <c r="G314" s="69">
        <v>455.86700000000002</v>
      </c>
      <c r="H314" s="90">
        <v>455.86700000000002</v>
      </c>
      <c r="I314" s="63">
        <f t="shared" si="146"/>
        <v>100</v>
      </c>
    </row>
    <row r="315" spans="1:9" ht="12.75" x14ac:dyDescent="0.2">
      <c r="A315" s="2" t="s">
        <v>450</v>
      </c>
      <c r="B315" s="1" t="s">
        <v>70</v>
      </c>
      <c r="C315" s="1" t="s">
        <v>6</v>
      </c>
      <c r="D315" s="1" t="s">
        <v>59</v>
      </c>
      <c r="E315" s="1" t="str">
        <f>E219</f>
        <v>9900000000</v>
      </c>
      <c r="F315" s="1"/>
      <c r="G315" s="82">
        <f>G316+G318</f>
        <v>161.798</v>
      </c>
      <c r="H315" s="82">
        <f t="shared" ref="H315" si="147">H316+H318</f>
        <v>161.59800000000001</v>
      </c>
      <c r="I315" s="63">
        <f t="shared" si="146"/>
        <v>99.876389077738921</v>
      </c>
    </row>
    <row r="316" spans="1:9" ht="12.75" x14ac:dyDescent="0.2">
      <c r="A316" s="2" t="s">
        <v>39</v>
      </c>
      <c r="B316" s="1" t="s">
        <v>70</v>
      </c>
      <c r="C316" s="1" t="s">
        <v>6</v>
      </c>
      <c r="D316" s="1" t="s">
        <v>59</v>
      </c>
      <c r="E316" s="1" t="str">
        <f>E220</f>
        <v>990000Ш500</v>
      </c>
      <c r="F316" s="1"/>
      <c r="G316" s="82">
        <f>G317</f>
        <v>159.99799999999999</v>
      </c>
      <c r="H316" s="82">
        <f t="shared" ref="H316" si="148">H317</f>
        <v>159.798</v>
      </c>
      <c r="I316" s="63">
        <f t="shared" si="146"/>
        <v>99.874998437480471</v>
      </c>
    </row>
    <row r="317" spans="1:9" ht="24" x14ac:dyDescent="0.2">
      <c r="A317" s="2" t="s">
        <v>40</v>
      </c>
      <c r="B317" s="1" t="s">
        <v>70</v>
      </c>
      <c r="C317" s="1" t="s">
        <v>6</v>
      </c>
      <c r="D317" s="1" t="s">
        <v>59</v>
      </c>
      <c r="E317" s="1" t="str">
        <f>E221</f>
        <v>990000Ш500</v>
      </c>
      <c r="F317" s="1" t="s">
        <v>44</v>
      </c>
      <c r="G317" s="82">
        <v>159.99799999999999</v>
      </c>
      <c r="H317" s="82">
        <v>159.798</v>
      </c>
      <c r="I317" s="63">
        <f t="shared" si="146"/>
        <v>99.874998437480471</v>
      </c>
    </row>
    <row r="318" spans="1:9" ht="24" x14ac:dyDescent="0.2">
      <c r="A318" s="2" t="s">
        <v>459</v>
      </c>
      <c r="B318" s="1" t="s">
        <v>70</v>
      </c>
      <c r="C318" s="1" t="s">
        <v>6</v>
      </c>
      <c r="D318" s="1" t="s">
        <v>59</v>
      </c>
      <c r="E318" s="1" t="s">
        <v>460</v>
      </c>
      <c r="F318" s="1"/>
      <c r="G318" s="82">
        <f>G319</f>
        <v>1.8</v>
      </c>
      <c r="H318" s="82">
        <f t="shared" ref="H318" si="149">H319</f>
        <v>1.8</v>
      </c>
      <c r="I318" s="63">
        <f t="shared" si="146"/>
        <v>100</v>
      </c>
    </row>
    <row r="319" spans="1:9" ht="24" x14ac:dyDescent="0.2">
      <c r="A319" s="2" t="s">
        <v>40</v>
      </c>
      <c r="B319" s="1" t="s">
        <v>70</v>
      </c>
      <c r="C319" s="1" t="s">
        <v>6</v>
      </c>
      <c r="D319" s="1" t="s">
        <v>59</v>
      </c>
      <c r="E319" s="1" t="s">
        <v>460</v>
      </c>
      <c r="F319" s="1" t="s">
        <v>44</v>
      </c>
      <c r="G319" s="82">
        <v>1.8</v>
      </c>
      <c r="H319" s="82">
        <v>1.8</v>
      </c>
      <c r="I319" s="63">
        <f t="shared" si="146"/>
        <v>100</v>
      </c>
    </row>
    <row r="320" spans="1:9" ht="24" x14ac:dyDescent="0.2">
      <c r="A320" s="2" t="s">
        <v>99</v>
      </c>
      <c r="B320" s="1" t="s">
        <v>70</v>
      </c>
      <c r="C320" s="1" t="s">
        <v>6</v>
      </c>
      <c r="D320" s="1" t="s">
        <v>7</v>
      </c>
      <c r="E320" s="1"/>
      <c r="F320" s="1"/>
      <c r="G320" s="92">
        <f t="shared" ref="G320:H320" si="150">G322</f>
        <v>14.9575</v>
      </c>
      <c r="H320" s="92">
        <f t="shared" si="150"/>
        <v>14.9575</v>
      </c>
      <c r="I320" s="63">
        <f t="shared" si="146"/>
        <v>100</v>
      </c>
    </row>
    <row r="321" spans="1:9" ht="36" x14ac:dyDescent="0.2">
      <c r="A321" s="2" t="s">
        <v>199</v>
      </c>
      <c r="B321" s="1" t="s">
        <v>70</v>
      </c>
      <c r="C321" s="1" t="s">
        <v>6</v>
      </c>
      <c r="D321" s="1" t="s">
        <v>7</v>
      </c>
      <c r="E321" s="1" t="s">
        <v>1</v>
      </c>
      <c r="F321" s="1"/>
      <c r="G321" s="88">
        <f>G322</f>
        <v>14.9575</v>
      </c>
      <c r="H321" s="88">
        <f t="shared" ref="H321" si="151">H322</f>
        <v>14.9575</v>
      </c>
      <c r="I321" s="63">
        <f t="shared" si="146"/>
        <v>100</v>
      </c>
    </row>
    <row r="322" spans="1:9" ht="48.75" x14ac:dyDescent="0.25">
      <c r="A322" s="2" t="s">
        <v>218</v>
      </c>
      <c r="B322" s="1" t="s">
        <v>70</v>
      </c>
      <c r="C322" s="1" t="s">
        <v>6</v>
      </c>
      <c r="D322" s="1">
        <v>14</v>
      </c>
      <c r="E322" s="1" t="s">
        <v>81</v>
      </c>
      <c r="F322" s="1"/>
      <c r="G322" s="89">
        <f>G323</f>
        <v>14.9575</v>
      </c>
      <c r="H322" s="89">
        <f>H323</f>
        <v>14.9575</v>
      </c>
      <c r="I322" s="63">
        <f t="shared" si="146"/>
        <v>100</v>
      </c>
    </row>
    <row r="323" spans="1:9" ht="48.75" x14ac:dyDescent="0.25">
      <c r="A323" s="2" t="s">
        <v>98</v>
      </c>
      <c r="B323" s="1" t="s">
        <v>70</v>
      </c>
      <c r="C323" s="1" t="s">
        <v>6</v>
      </c>
      <c r="D323" s="1" t="s">
        <v>7</v>
      </c>
      <c r="E323" s="1" t="s">
        <v>219</v>
      </c>
      <c r="F323" s="1"/>
      <c r="G323" s="89">
        <f t="shared" ref="G323:H324" si="152">G324</f>
        <v>14.9575</v>
      </c>
      <c r="H323" s="89">
        <f t="shared" si="152"/>
        <v>14.9575</v>
      </c>
      <c r="I323" s="63">
        <f t="shared" si="146"/>
        <v>100</v>
      </c>
    </row>
    <row r="324" spans="1:9" ht="24.75" x14ac:dyDescent="0.25">
      <c r="A324" s="2" t="s">
        <v>220</v>
      </c>
      <c r="B324" s="1" t="s">
        <v>70</v>
      </c>
      <c r="C324" s="1" t="s">
        <v>6</v>
      </c>
      <c r="D324" s="1" t="s">
        <v>7</v>
      </c>
      <c r="E324" s="1" t="s">
        <v>97</v>
      </c>
      <c r="F324" s="1"/>
      <c r="G324" s="89">
        <f t="shared" si="152"/>
        <v>14.9575</v>
      </c>
      <c r="H324" s="89">
        <f t="shared" si="152"/>
        <v>14.9575</v>
      </c>
      <c r="I324" s="63">
        <f t="shared" si="146"/>
        <v>100</v>
      </c>
    </row>
    <row r="325" spans="1:9" ht="24.75" x14ac:dyDescent="0.25">
      <c r="A325" s="2" t="s">
        <v>40</v>
      </c>
      <c r="B325" s="1" t="s">
        <v>70</v>
      </c>
      <c r="C325" s="1" t="s">
        <v>6</v>
      </c>
      <c r="D325" s="1">
        <v>14</v>
      </c>
      <c r="E325" s="1" t="s">
        <v>97</v>
      </c>
      <c r="F325" s="1">
        <v>200</v>
      </c>
      <c r="G325" s="89">
        <v>14.9575</v>
      </c>
      <c r="H325" s="89">
        <v>14.9575</v>
      </c>
      <c r="I325" s="63">
        <f t="shared" si="146"/>
        <v>100</v>
      </c>
    </row>
    <row r="326" spans="1:9" ht="12.75" x14ac:dyDescent="0.2">
      <c r="A326" s="2" t="s">
        <v>96</v>
      </c>
      <c r="B326" s="1" t="s">
        <v>70</v>
      </c>
      <c r="C326" s="1" t="s">
        <v>52</v>
      </c>
      <c r="D326" s="1"/>
      <c r="E326" s="1"/>
      <c r="F326" s="1"/>
      <c r="G326" s="92">
        <f>G327+G351+G343+G337</f>
        <v>55185.338509999994</v>
      </c>
      <c r="H326" s="92">
        <f>H327+H351+H343+H337</f>
        <v>48781.784549999997</v>
      </c>
      <c r="I326" s="63">
        <f t="shared" si="146"/>
        <v>88.396276741439891</v>
      </c>
    </row>
    <row r="327" spans="1:9" ht="12.75" x14ac:dyDescent="0.2">
      <c r="A327" s="2" t="s">
        <v>95</v>
      </c>
      <c r="B327" s="1" t="s">
        <v>70</v>
      </c>
      <c r="C327" s="1" t="s">
        <v>52</v>
      </c>
      <c r="D327" s="1" t="s">
        <v>30</v>
      </c>
      <c r="E327" s="1"/>
      <c r="F327" s="1"/>
      <c r="G327" s="92">
        <f t="shared" ref="G327:H327" si="153">G329</f>
        <v>823.5</v>
      </c>
      <c r="H327" s="92">
        <f t="shared" si="153"/>
        <v>725.44440000000009</v>
      </c>
      <c r="I327" s="63">
        <f t="shared" si="146"/>
        <v>88.092823315118409</v>
      </c>
    </row>
    <row r="328" spans="1:9" ht="36" x14ac:dyDescent="0.2">
      <c r="A328" s="2" t="s">
        <v>396</v>
      </c>
      <c r="B328" s="1" t="s">
        <v>70</v>
      </c>
      <c r="C328" s="1" t="s">
        <v>52</v>
      </c>
      <c r="D328" s="1" t="s">
        <v>30</v>
      </c>
      <c r="E328" s="1" t="s">
        <v>4</v>
      </c>
      <c r="F328" s="1"/>
      <c r="G328" s="92">
        <f>G329</f>
        <v>823.5</v>
      </c>
      <c r="H328" s="92">
        <f t="shared" ref="H328" si="154">H329</f>
        <v>725.44440000000009</v>
      </c>
      <c r="I328" s="63">
        <f t="shared" si="146"/>
        <v>88.092823315118409</v>
      </c>
    </row>
    <row r="329" spans="1:9" ht="48" x14ac:dyDescent="0.2">
      <c r="A329" s="2" t="s">
        <v>213</v>
      </c>
      <c r="B329" s="1" t="s">
        <v>70</v>
      </c>
      <c r="C329" s="1" t="s">
        <v>52</v>
      </c>
      <c r="D329" s="1" t="s">
        <v>30</v>
      </c>
      <c r="E329" s="1" t="s">
        <v>55</v>
      </c>
      <c r="F329" s="1"/>
      <c r="G329" s="88">
        <f t="shared" ref="G329:H329" si="155">G330</f>
        <v>823.5</v>
      </c>
      <c r="H329" s="88">
        <f t="shared" si="155"/>
        <v>725.44440000000009</v>
      </c>
      <c r="I329" s="63">
        <f t="shared" si="146"/>
        <v>88.092823315118409</v>
      </c>
    </row>
    <row r="330" spans="1:9" ht="36" x14ac:dyDescent="0.2">
      <c r="A330" s="2" t="s">
        <v>94</v>
      </c>
      <c r="B330" s="1" t="s">
        <v>70</v>
      </c>
      <c r="C330" s="1" t="s">
        <v>52</v>
      </c>
      <c r="D330" s="1" t="s">
        <v>30</v>
      </c>
      <c r="E330" s="1" t="s">
        <v>221</v>
      </c>
      <c r="F330" s="1"/>
      <c r="G330" s="88">
        <f>G331+G333+G335</f>
        <v>823.5</v>
      </c>
      <c r="H330" s="88">
        <f t="shared" ref="H330" si="156">H331+H333+H335</f>
        <v>725.44440000000009</v>
      </c>
      <c r="I330" s="63">
        <f t="shared" si="146"/>
        <v>88.092823315118409</v>
      </c>
    </row>
    <row r="331" spans="1:9" ht="12.75" x14ac:dyDescent="0.2">
      <c r="A331" s="2" t="s">
        <v>222</v>
      </c>
      <c r="B331" s="1" t="s">
        <v>70</v>
      </c>
      <c r="C331" s="1" t="s">
        <v>52</v>
      </c>
      <c r="D331" s="1" t="s">
        <v>30</v>
      </c>
      <c r="E331" s="1" t="s">
        <v>93</v>
      </c>
      <c r="F331" s="1"/>
      <c r="G331" s="88">
        <f>G332</f>
        <v>210</v>
      </c>
      <c r="H331" s="88">
        <f t="shared" ref="H331" si="157">H332</f>
        <v>210</v>
      </c>
      <c r="I331" s="63">
        <f t="shared" si="146"/>
        <v>100</v>
      </c>
    </row>
    <row r="332" spans="1:9" ht="24" x14ac:dyDescent="0.2">
      <c r="A332" s="2" t="s">
        <v>40</v>
      </c>
      <c r="B332" s="1" t="s">
        <v>70</v>
      </c>
      <c r="C332" s="1" t="s">
        <v>52</v>
      </c>
      <c r="D332" s="1" t="s">
        <v>30</v>
      </c>
      <c r="E332" s="1" t="s">
        <v>93</v>
      </c>
      <c r="F332" s="1">
        <v>200</v>
      </c>
      <c r="G332" s="88">
        <v>210</v>
      </c>
      <c r="H332" s="88">
        <v>210</v>
      </c>
      <c r="I332" s="63">
        <f t="shared" si="146"/>
        <v>100</v>
      </c>
    </row>
    <row r="333" spans="1:9" ht="84" x14ac:dyDescent="0.2">
      <c r="A333" s="2" t="s">
        <v>256</v>
      </c>
      <c r="B333" s="1" t="s">
        <v>70</v>
      </c>
      <c r="C333" s="1" t="s">
        <v>52</v>
      </c>
      <c r="D333" s="1" t="s">
        <v>30</v>
      </c>
      <c r="E333" s="1" t="s">
        <v>92</v>
      </c>
      <c r="F333" s="1"/>
      <c r="G333" s="88">
        <f t="shared" ref="G333:H333" si="158">G334</f>
        <v>191.8</v>
      </c>
      <c r="H333" s="88">
        <f t="shared" si="158"/>
        <v>109.8</v>
      </c>
      <c r="I333" s="63">
        <f t="shared" si="146"/>
        <v>57.247132429614176</v>
      </c>
    </row>
    <row r="334" spans="1:9" ht="24" x14ac:dyDescent="0.2">
      <c r="A334" s="2" t="s">
        <v>40</v>
      </c>
      <c r="B334" s="1" t="s">
        <v>70</v>
      </c>
      <c r="C334" s="1" t="s">
        <v>52</v>
      </c>
      <c r="D334" s="1" t="s">
        <v>30</v>
      </c>
      <c r="E334" s="1" t="s">
        <v>92</v>
      </c>
      <c r="F334" s="1" t="s">
        <v>44</v>
      </c>
      <c r="G334" s="88">
        <v>191.8</v>
      </c>
      <c r="H334" s="88">
        <v>109.8</v>
      </c>
      <c r="I334" s="63">
        <f t="shared" si="146"/>
        <v>57.247132429614176</v>
      </c>
    </row>
    <row r="335" spans="1:9" ht="36" x14ac:dyDescent="0.2">
      <c r="A335" s="2" t="s">
        <v>344</v>
      </c>
      <c r="B335" s="1" t="s">
        <v>70</v>
      </c>
      <c r="C335" s="1" t="s">
        <v>52</v>
      </c>
      <c r="D335" s="1" t="s">
        <v>30</v>
      </c>
      <c r="E335" s="1" t="s">
        <v>91</v>
      </c>
      <c r="F335" s="1"/>
      <c r="G335" s="96">
        <f t="shared" ref="G335:H335" si="159">G336</f>
        <v>421.7</v>
      </c>
      <c r="H335" s="96">
        <f t="shared" si="159"/>
        <v>405.64440000000002</v>
      </c>
      <c r="I335" s="63">
        <f t="shared" si="146"/>
        <v>96.192648802466223</v>
      </c>
    </row>
    <row r="336" spans="1:9" ht="24" x14ac:dyDescent="0.2">
      <c r="A336" s="2" t="s">
        <v>40</v>
      </c>
      <c r="B336" s="1" t="s">
        <v>70</v>
      </c>
      <c r="C336" s="1" t="s">
        <v>52</v>
      </c>
      <c r="D336" s="1" t="s">
        <v>30</v>
      </c>
      <c r="E336" s="1" t="s">
        <v>91</v>
      </c>
      <c r="F336" s="1" t="s">
        <v>44</v>
      </c>
      <c r="G336" s="88">
        <v>421.7</v>
      </c>
      <c r="H336" s="88">
        <v>405.64440000000002</v>
      </c>
      <c r="I336" s="63">
        <f t="shared" si="146"/>
        <v>96.192648802466223</v>
      </c>
    </row>
    <row r="337" spans="1:9" ht="12.75" x14ac:dyDescent="0.2">
      <c r="A337" s="2" t="s">
        <v>353</v>
      </c>
      <c r="B337" s="1" t="s">
        <v>70</v>
      </c>
      <c r="C337" s="1" t="s">
        <v>52</v>
      </c>
      <c r="D337" s="1" t="s">
        <v>46</v>
      </c>
      <c r="E337" s="1"/>
      <c r="F337" s="1"/>
      <c r="G337" s="88">
        <f t="shared" ref="G337:H337" si="160">G339</f>
        <v>2326.18453</v>
      </c>
      <c r="H337" s="88">
        <f t="shared" si="160"/>
        <v>1626.18453</v>
      </c>
      <c r="I337" s="63">
        <f t="shared" si="146"/>
        <v>69.907804347748808</v>
      </c>
    </row>
    <row r="338" spans="1:9" ht="36" x14ac:dyDescent="0.2">
      <c r="A338" s="2" t="s">
        <v>199</v>
      </c>
      <c r="B338" s="1" t="s">
        <v>70</v>
      </c>
      <c r="C338" s="1" t="s">
        <v>52</v>
      </c>
      <c r="D338" s="1" t="s">
        <v>46</v>
      </c>
      <c r="E338" s="1" t="s">
        <v>1</v>
      </c>
      <c r="F338" s="1"/>
      <c r="G338" s="88">
        <f>G339</f>
        <v>2326.18453</v>
      </c>
      <c r="H338" s="88">
        <f t="shared" ref="H338" si="161">H339</f>
        <v>1626.18453</v>
      </c>
      <c r="I338" s="63">
        <f t="shared" si="146"/>
        <v>69.907804347748808</v>
      </c>
    </row>
    <row r="339" spans="1:9" ht="24" x14ac:dyDescent="0.2">
      <c r="A339" s="2" t="s">
        <v>354</v>
      </c>
      <c r="B339" s="2" t="s">
        <v>70</v>
      </c>
      <c r="C339" s="2" t="s">
        <v>52</v>
      </c>
      <c r="D339" s="2" t="s">
        <v>46</v>
      </c>
      <c r="E339" s="2" t="s">
        <v>356</v>
      </c>
      <c r="F339" s="2"/>
      <c r="G339" s="88">
        <f>G340</f>
        <v>2326.18453</v>
      </c>
      <c r="H339" s="88">
        <f t="shared" ref="H339:H341" si="162">H340</f>
        <v>1626.18453</v>
      </c>
      <c r="I339" s="63">
        <f t="shared" si="146"/>
        <v>69.907804347748808</v>
      </c>
    </row>
    <row r="340" spans="1:9" ht="12.75" x14ac:dyDescent="0.2">
      <c r="A340" s="2" t="s">
        <v>355</v>
      </c>
      <c r="B340" s="2" t="s">
        <v>70</v>
      </c>
      <c r="C340" s="2" t="s">
        <v>52</v>
      </c>
      <c r="D340" s="2" t="s">
        <v>46</v>
      </c>
      <c r="E340" s="2" t="s">
        <v>357</v>
      </c>
      <c r="F340" s="2"/>
      <c r="G340" s="88">
        <f>G341</f>
        <v>2326.18453</v>
      </c>
      <c r="H340" s="88">
        <f t="shared" si="162"/>
        <v>1626.18453</v>
      </c>
      <c r="I340" s="63">
        <f t="shared" si="146"/>
        <v>69.907804347748808</v>
      </c>
    </row>
    <row r="341" spans="1:9" ht="24" x14ac:dyDescent="0.2">
      <c r="A341" s="2" t="s">
        <v>446</v>
      </c>
      <c r="B341" s="2" t="s">
        <v>70</v>
      </c>
      <c r="C341" s="2" t="s">
        <v>52</v>
      </c>
      <c r="D341" s="2" t="s">
        <v>46</v>
      </c>
      <c r="E341" s="50" t="s">
        <v>378</v>
      </c>
      <c r="F341" s="2"/>
      <c r="G341" s="88">
        <f>G342</f>
        <v>2326.18453</v>
      </c>
      <c r="H341" s="88">
        <f t="shared" si="162"/>
        <v>1626.18453</v>
      </c>
      <c r="I341" s="63">
        <f t="shared" si="146"/>
        <v>69.907804347748808</v>
      </c>
    </row>
    <row r="342" spans="1:9" ht="24" x14ac:dyDescent="0.2">
      <c r="A342" s="2" t="s">
        <v>40</v>
      </c>
      <c r="B342" s="2" t="s">
        <v>70</v>
      </c>
      <c r="C342" s="2" t="s">
        <v>52</v>
      </c>
      <c r="D342" s="2" t="s">
        <v>46</v>
      </c>
      <c r="E342" s="50" t="s">
        <v>378</v>
      </c>
      <c r="F342" s="2">
        <v>200</v>
      </c>
      <c r="G342" s="88">
        <v>2326.18453</v>
      </c>
      <c r="H342" s="88">
        <v>1626.18453</v>
      </c>
      <c r="I342" s="63">
        <f t="shared" si="146"/>
        <v>69.907804347748808</v>
      </c>
    </row>
    <row r="343" spans="1:9" ht="12.75" x14ac:dyDescent="0.2">
      <c r="A343" s="2" t="s">
        <v>90</v>
      </c>
      <c r="B343" s="1" t="s">
        <v>70</v>
      </c>
      <c r="C343" s="1" t="s">
        <v>52</v>
      </c>
      <c r="D343" s="1" t="s">
        <v>59</v>
      </c>
      <c r="E343" s="1"/>
      <c r="F343" s="1"/>
      <c r="G343" s="63">
        <f>G345</f>
        <v>19642.733650000002</v>
      </c>
      <c r="H343" s="63">
        <f t="shared" ref="H343" si="163">H345</f>
        <v>15828.48697</v>
      </c>
      <c r="I343" s="63">
        <f t="shared" si="146"/>
        <v>80.581894821956197</v>
      </c>
    </row>
    <row r="344" spans="1:9" ht="36" x14ac:dyDescent="0.2">
      <c r="A344" s="2" t="s">
        <v>199</v>
      </c>
      <c r="B344" s="1" t="s">
        <v>70</v>
      </c>
      <c r="C344" s="1" t="s">
        <v>52</v>
      </c>
      <c r="D344" s="1" t="s">
        <v>59</v>
      </c>
      <c r="E344" s="1" t="s">
        <v>1</v>
      </c>
      <c r="F344" s="1"/>
      <c r="G344" s="88">
        <f>G345</f>
        <v>19642.733650000002</v>
      </c>
      <c r="H344" s="88">
        <f t="shared" ref="H344" si="164">H345</f>
        <v>15828.48697</v>
      </c>
      <c r="I344" s="63">
        <f t="shared" si="146"/>
        <v>80.581894821956197</v>
      </c>
    </row>
    <row r="345" spans="1:9" ht="48.75" x14ac:dyDescent="0.25">
      <c r="A345" s="2" t="s">
        <v>277</v>
      </c>
      <c r="B345" s="1" t="s">
        <v>70</v>
      </c>
      <c r="C345" s="1" t="s">
        <v>52</v>
      </c>
      <c r="D345" s="1" t="s">
        <v>59</v>
      </c>
      <c r="E345" s="1" t="s">
        <v>278</v>
      </c>
      <c r="F345" s="1"/>
      <c r="G345" s="89">
        <f t="shared" ref="G345:H349" si="165">G346</f>
        <v>19642.733650000002</v>
      </c>
      <c r="H345" s="89">
        <f t="shared" si="165"/>
        <v>15828.48697</v>
      </c>
      <c r="I345" s="63">
        <f t="shared" si="146"/>
        <v>80.581894821956197</v>
      </c>
    </row>
    <row r="346" spans="1:9" x14ac:dyDescent="0.25">
      <c r="A346" s="2" t="s">
        <v>334</v>
      </c>
      <c r="B346" s="1" t="s">
        <v>70</v>
      </c>
      <c r="C346" s="1" t="s">
        <v>52</v>
      </c>
      <c r="D346" s="1" t="s">
        <v>59</v>
      </c>
      <c r="E346" s="1" t="s">
        <v>279</v>
      </c>
      <c r="F346" s="1"/>
      <c r="G346" s="89">
        <f>G347+G349</f>
        <v>19642.733650000002</v>
      </c>
      <c r="H346" s="89">
        <f t="shared" ref="H346" si="166">H347+H349</f>
        <v>15828.48697</v>
      </c>
      <c r="I346" s="63">
        <f t="shared" si="146"/>
        <v>80.581894821956197</v>
      </c>
    </row>
    <row r="347" spans="1:9" ht="24.75" x14ac:dyDescent="0.25">
      <c r="A347" s="2" t="s">
        <v>333</v>
      </c>
      <c r="B347" s="1" t="s">
        <v>70</v>
      </c>
      <c r="C347" s="1" t="s">
        <v>52</v>
      </c>
      <c r="D347" s="1" t="s">
        <v>59</v>
      </c>
      <c r="E347" s="1" t="s">
        <v>280</v>
      </c>
      <c r="F347" s="1"/>
      <c r="G347" s="89">
        <f t="shared" si="165"/>
        <v>11286.63365</v>
      </c>
      <c r="H347" s="89">
        <f t="shared" si="165"/>
        <v>9594.2278999999999</v>
      </c>
      <c r="I347" s="63">
        <f t="shared" si="146"/>
        <v>85.005221198085053</v>
      </c>
    </row>
    <row r="348" spans="1:9" ht="24.75" x14ac:dyDescent="0.25">
      <c r="A348" s="2" t="s">
        <v>40</v>
      </c>
      <c r="B348" s="1" t="s">
        <v>70</v>
      </c>
      <c r="C348" s="1" t="s">
        <v>52</v>
      </c>
      <c r="D348" s="1" t="s">
        <v>59</v>
      </c>
      <c r="E348" s="1" t="s">
        <v>280</v>
      </c>
      <c r="F348" s="1" t="s">
        <v>44</v>
      </c>
      <c r="G348" s="89">
        <v>11286.63365</v>
      </c>
      <c r="H348" s="89">
        <v>9594.2278999999999</v>
      </c>
      <c r="I348" s="63">
        <f t="shared" si="146"/>
        <v>85.005221198085053</v>
      </c>
    </row>
    <row r="349" spans="1:9" ht="36" x14ac:dyDescent="0.25">
      <c r="A349" s="5" t="s">
        <v>511</v>
      </c>
      <c r="B349" s="1" t="s">
        <v>70</v>
      </c>
      <c r="C349" s="1" t="s">
        <v>52</v>
      </c>
      <c r="D349" s="1" t="s">
        <v>59</v>
      </c>
      <c r="E349" s="1" t="s">
        <v>510</v>
      </c>
      <c r="F349" s="1"/>
      <c r="G349" s="89">
        <f>G350</f>
        <v>8356.1</v>
      </c>
      <c r="H349" s="89">
        <f t="shared" si="165"/>
        <v>6234.2590700000001</v>
      </c>
      <c r="I349" s="63">
        <f t="shared" si="146"/>
        <v>74.607281746269194</v>
      </c>
    </row>
    <row r="350" spans="1:9" ht="24.75" x14ac:dyDescent="0.25">
      <c r="A350" s="2" t="s">
        <v>40</v>
      </c>
      <c r="B350" s="1" t="s">
        <v>70</v>
      </c>
      <c r="C350" s="1" t="s">
        <v>52</v>
      </c>
      <c r="D350" s="1" t="s">
        <v>59</v>
      </c>
      <c r="E350" s="1" t="s">
        <v>510</v>
      </c>
      <c r="F350" s="1" t="s">
        <v>44</v>
      </c>
      <c r="G350" s="89">
        <v>8356.1</v>
      </c>
      <c r="H350" s="89">
        <v>6234.2590700000001</v>
      </c>
      <c r="I350" s="63">
        <f t="shared" si="146"/>
        <v>74.607281746269194</v>
      </c>
    </row>
    <row r="351" spans="1:9" ht="12.75" x14ac:dyDescent="0.2">
      <c r="A351" s="5" t="s">
        <v>89</v>
      </c>
      <c r="B351" s="1" t="s">
        <v>70</v>
      </c>
      <c r="C351" s="1" t="s">
        <v>52</v>
      </c>
      <c r="D351" s="1" t="s">
        <v>24</v>
      </c>
      <c r="E351" s="1"/>
      <c r="F351" s="1"/>
      <c r="G351" s="92">
        <f>G358+G377+G353+G366+G382</f>
        <v>32392.920329999994</v>
      </c>
      <c r="H351" s="92">
        <f>H358+H377+H353+H366+H382</f>
        <v>30601.66865</v>
      </c>
      <c r="I351" s="63">
        <f t="shared" si="146"/>
        <v>94.470237132830945</v>
      </c>
    </row>
    <row r="352" spans="1:9" ht="36" x14ac:dyDescent="0.2">
      <c r="A352" s="2" t="s">
        <v>396</v>
      </c>
      <c r="B352" s="1" t="s">
        <v>70</v>
      </c>
      <c r="C352" s="1" t="s">
        <v>52</v>
      </c>
      <c r="D352" s="1" t="s">
        <v>24</v>
      </c>
      <c r="E352" s="1" t="s">
        <v>4</v>
      </c>
      <c r="F352" s="1"/>
      <c r="G352" s="92">
        <f>G353+G358</f>
        <v>472.8</v>
      </c>
      <c r="H352" s="92">
        <f>H353+H358</f>
        <v>472.8</v>
      </c>
      <c r="I352" s="63">
        <f t="shared" si="146"/>
        <v>100</v>
      </c>
    </row>
    <row r="353" spans="1:9" ht="51.75" customHeight="1" x14ac:dyDescent="0.2">
      <c r="A353" s="5" t="s">
        <v>214</v>
      </c>
      <c r="B353" s="1" t="s">
        <v>70</v>
      </c>
      <c r="C353" s="1" t="s">
        <v>52</v>
      </c>
      <c r="D353" s="1" t="s">
        <v>24</v>
      </c>
      <c r="E353" s="1" t="s">
        <v>26</v>
      </c>
      <c r="F353" s="1"/>
      <c r="G353" s="88">
        <f>G354</f>
        <v>57.800000000000004</v>
      </c>
      <c r="H353" s="88">
        <f t="shared" ref="H353" si="167">H354</f>
        <v>57.800000000000004</v>
      </c>
      <c r="I353" s="63">
        <f t="shared" si="146"/>
        <v>100</v>
      </c>
    </row>
    <row r="354" spans="1:9" ht="48" x14ac:dyDescent="0.2">
      <c r="A354" s="2" t="s">
        <v>215</v>
      </c>
      <c r="B354" s="1" t="s">
        <v>70</v>
      </c>
      <c r="C354" s="1" t="s">
        <v>52</v>
      </c>
      <c r="D354" s="1" t="s">
        <v>24</v>
      </c>
      <c r="E354" s="1" t="s">
        <v>216</v>
      </c>
      <c r="F354" s="1"/>
      <c r="G354" s="88">
        <f t="shared" ref="G354:H354" si="168">G355</f>
        <v>57.800000000000004</v>
      </c>
      <c r="H354" s="88">
        <f t="shared" si="168"/>
        <v>57.800000000000004</v>
      </c>
      <c r="I354" s="63">
        <f t="shared" si="146"/>
        <v>100</v>
      </c>
    </row>
    <row r="355" spans="1:9" ht="24" x14ac:dyDescent="0.2">
      <c r="A355" s="2" t="s">
        <v>109</v>
      </c>
      <c r="B355" s="1" t="s">
        <v>70</v>
      </c>
      <c r="C355" s="1" t="s">
        <v>52</v>
      </c>
      <c r="D355" s="1" t="s">
        <v>24</v>
      </c>
      <c r="E355" s="1" t="s">
        <v>108</v>
      </c>
      <c r="F355" s="1"/>
      <c r="G355" s="88">
        <f>G357+G356</f>
        <v>57.800000000000004</v>
      </c>
      <c r="H355" s="88">
        <f t="shared" ref="H355" si="169">H357+H356</f>
        <v>57.800000000000004</v>
      </c>
      <c r="I355" s="63">
        <f t="shared" si="146"/>
        <v>100</v>
      </c>
    </row>
    <row r="356" spans="1:9" ht="48" x14ac:dyDescent="0.2">
      <c r="A356" s="2" t="s">
        <v>32</v>
      </c>
      <c r="B356" s="1" t="s">
        <v>70</v>
      </c>
      <c r="C356" s="1" t="s">
        <v>52</v>
      </c>
      <c r="D356" s="1" t="s">
        <v>24</v>
      </c>
      <c r="E356" s="1" t="s">
        <v>108</v>
      </c>
      <c r="F356" s="1" t="s">
        <v>29</v>
      </c>
      <c r="G356" s="88">
        <f>42.56528+12.85472</f>
        <v>55.42</v>
      </c>
      <c r="H356" s="88">
        <f>42.56528+12.85472</f>
        <v>55.42</v>
      </c>
      <c r="I356" s="63">
        <f t="shared" si="146"/>
        <v>100</v>
      </c>
    </row>
    <row r="357" spans="1:9" ht="24" x14ac:dyDescent="0.2">
      <c r="A357" s="2" t="s">
        <v>40</v>
      </c>
      <c r="B357" s="1" t="s">
        <v>70</v>
      </c>
      <c r="C357" s="1" t="s">
        <v>52</v>
      </c>
      <c r="D357" s="1" t="s">
        <v>24</v>
      </c>
      <c r="E357" s="1" t="s">
        <v>108</v>
      </c>
      <c r="F357" s="1">
        <v>200</v>
      </c>
      <c r="G357" s="88">
        <v>2.38</v>
      </c>
      <c r="H357" s="88">
        <f>2.38</f>
        <v>2.38</v>
      </c>
      <c r="I357" s="63">
        <f t="shared" si="146"/>
        <v>100</v>
      </c>
    </row>
    <row r="358" spans="1:9" ht="38.25" customHeight="1" x14ac:dyDescent="0.2">
      <c r="A358" s="2" t="s">
        <v>223</v>
      </c>
      <c r="B358" s="1" t="s">
        <v>70</v>
      </c>
      <c r="C358" s="1" t="s">
        <v>52</v>
      </c>
      <c r="D358" s="1" t="s">
        <v>24</v>
      </c>
      <c r="E358" s="1" t="s">
        <v>88</v>
      </c>
      <c r="F358" s="1"/>
      <c r="G358" s="82">
        <f>G359+G362</f>
        <v>415</v>
      </c>
      <c r="H358" s="82">
        <f>H359+H362</f>
        <v>415</v>
      </c>
      <c r="I358" s="63">
        <f t="shared" si="146"/>
        <v>100</v>
      </c>
    </row>
    <row r="359" spans="1:9" ht="24" x14ac:dyDescent="0.2">
      <c r="A359" s="2" t="s">
        <v>186</v>
      </c>
      <c r="B359" s="1" t="s">
        <v>70</v>
      </c>
      <c r="C359" s="1" t="s">
        <v>52</v>
      </c>
      <c r="D359" s="1" t="s">
        <v>24</v>
      </c>
      <c r="E359" s="1" t="s">
        <v>224</v>
      </c>
      <c r="F359" s="1"/>
      <c r="G359" s="82">
        <f>G360</f>
        <v>400</v>
      </c>
      <c r="H359" s="82">
        <f>H360</f>
        <v>400</v>
      </c>
      <c r="I359" s="63">
        <f t="shared" si="146"/>
        <v>100</v>
      </c>
    </row>
    <row r="360" spans="1:9" ht="64.5" customHeight="1" x14ac:dyDescent="0.2">
      <c r="A360" s="5" t="s">
        <v>543</v>
      </c>
      <c r="B360" s="1" t="s">
        <v>70</v>
      </c>
      <c r="C360" s="1" t="s">
        <v>52</v>
      </c>
      <c r="D360" s="1" t="s">
        <v>24</v>
      </c>
      <c r="E360" s="1" t="s">
        <v>87</v>
      </c>
      <c r="F360" s="1"/>
      <c r="G360" s="82">
        <f>G361</f>
        <v>400</v>
      </c>
      <c r="H360" s="82">
        <f>H361</f>
        <v>400</v>
      </c>
      <c r="I360" s="63">
        <f t="shared" si="146"/>
        <v>100</v>
      </c>
    </row>
    <row r="361" spans="1:9" ht="17.25" customHeight="1" x14ac:dyDescent="0.2">
      <c r="A361" s="5" t="s">
        <v>64</v>
      </c>
      <c r="B361" s="1" t="s">
        <v>70</v>
      </c>
      <c r="C361" s="1" t="s">
        <v>52</v>
      </c>
      <c r="D361" s="1" t="s">
        <v>24</v>
      </c>
      <c r="E361" s="1" t="s">
        <v>87</v>
      </c>
      <c r="F361" s="1" t="s">
        <v>70</v>
      </c>
      <c r="G361" s="82">
        <v>400</v>
      </c>
      <c r="H361" s="82">
        <v>400</v>
      </c>
      <c r="I361" s="63">
        <f t="shared" si="146"/>
        <v>100</v>
      </c>
    </row>
    <row r="362" spans="1:9" ht="36" x14ac:dyDescent="0.2">
      <c r="A362" s="5" t="s">
        <v>227</v>
      </c>
      <c r="B362" s="1" t="s">
        <v>70</v>
      </c>
      <c r="C362" s="1" t="s">
        <v>52</v>
      </c>
      <c r="D362" s="1" t="s">
        <v>24</v>
      </c>
      <c r="E362" s="1" t="s">
        <v>225</v>
      </c>
      <c r="F362" s="1"/>
      <c r="G362" s="82">
        <f t="shared" ref="G362:H362" si="170">G363</f>
        <v>15</v>
      </c>
      <c r="H362" s="82">
        <f t="shared" si="170"/>
        <v>15</v>
      </c>
      <c r="I362" s="63">
        <f t="shared" si="146"/>
        <v>100</v>
      </c>
    </row>
    <row r="363" spans="1:9" ht="24" x14ac:dyDescent="0.2">
      <c r="A363" s="2" t="s">
        <v>228</v>
      </c>
      <c r="B363" s="1" t="s">
        <v>70</v>
      </c>
      <c r="C363" s="1" t="s">
        <v>52</v>
      </c>
      <c r="D363" s="1" t="s">
        <v>24</v>
      </c>
      <c r="E363" s="1" t="s">
        <v>226</v>
      </c>
      <c r="F363" s="1"/>
      <c r="G363" s="82">
        <f t="shared" ref="G363:H363" si="171">G364</f>
        <v>15</v>
      </c>
      <c r="H363" s="82">
        <f t="shared" si="171"/>
        <v>15</v>
      </c>
      <c r="I363" s="63">
        <f t="shared" si="146"/>
        <v>100</v>
      </c>
    </row>
    <row r="364" spans="1:9" ht="24" x14ac:dyDescent="0.2">
      <c r="A364" s="2" t="s">
        <v>40</v>
      </c>
      <c r="B364" s="1" t="s">
        <v>70</v>
      </c>
      <c r="C364" s="1" t="s">
        <v>52</v>
      </c>
      <c r="D364" s="1" t="s">
        <v>24</v>
      </c>
      <c r="E364" s="1" t="s">
        <v>226</v>
      </c>
      <c r="F364" s="1" t="s">
        <v>44</v>
      </c>
      <c r="G364" s="82">
        <v>15</v>
      </c>
      <c r="H364" s="82">
        <v>15</v>
      </c>
      <c r="I364" s="63">
        <f t="shared" si="146"/>
        <v>100</v>
      </c>
    </row>
    <row r="365" spans="1:9" ht="36" x14ac:dyDescent="0.2">
      <c r="A365" s="2" t="s">
        <v>397</v>
      </c>
      <c r="B365" s="2" t="s">
        <v>70</v>
      </c>
      <c r="C365" s="2" t="s">
        <v>52</v>
      </c>
      <c r="D365" s="2" t="s">
        <v>24</v>
      </c>
      <c r="E365" s="50" t="s">
        <v>290</v>
      </c>
      <c r="F365" s="1"/>
      <c r="G365" s="82">
        <f>G366+G377</f>
        <v>31154.120329999998</v>
      </c>
      <c r="H365" s="82">
        <f t="shared" ref="H365" si="172">H366+H377</f>
        <v>29362.86865</v>
      </c>
      <c r="I365" s="63">
        <f t="shared" si="146"/>
        <v>94.250353850385864</v>
      </c>
    </row>
    <row r="366" spans="1:9" ht="84.75" x14ac:dyDescent="0.25">
      <c r="A366" s="2" t="s">
        <v>432</v>
      </c>
      <c r="B366" s="2" t="s">
        <v>70</v>
      </c>
      <c r="C366" s="2" t="s">
        <v>52</v>
      </c>
      <c r="D366" s="2" t="s">
        <v>24</v>
      </c>
      <c r="E366" s="2" t="s">
        <v>388</v>
      </c>
      <c r="F366" s="2"/>
      <c r="G366" s="97">
        <f>G367+G373+G375</f>
        <v>10630.119999999997</v>
      </c>
      <c r="H366" s="97">
        <f t="shared" ref="H366" si="173">H367+H373+H375</f>
        <v>10030.290209999999</v>
      </c>
      <c r="I366" s="63">
        <f t="shared" si="146"/>
        <v>94.357262288666561</v>
      </c>
    </row>
    <row r="367" spans="1:9" ht="48.75" x14ac:dyDescent="0.25">
      <c r="A367" s="2" t="s">
        <v>442</v>
      </c>
      <c r="B367" s="2" t="s">
        <v>70</v>
      </c>
      <c r="C367" s="2" t="s">
        <v>52</v>
      </c>
      <c r="D367" s="2" t="s">
        <v>24</v>
      </c>
      <c r="E367" s="2" t="s">
        <v>389</v>
      </c>
      <c r="F367" s="2"/>
      <c r="G367" s="97">
        <f t="shared" ref="G367" si="174">G368+G370</f>
        <v>8521.369999999999</v>
      </c>
      <c r="H367" s="97">
        <f>H368+H370</f>
        <v>7921.5420099999992</v>
      </c>
      <c r="I367" s="63">
        <f t="shared" si="146"/>
        <v>92.960897250090071</v>
      </c>
    </row>
    <row r="368" spans="1:9" ht="41.25" customHeight="1" x14ac:dyDescent="0.25">
      <c r="A368" s="2" t="s">
        <v>443</v>
      </c>
      <c r="B368" s="2" t="s">
        <v>70</v>
      </c>
      <c r="C368" s="2" t="s">
        <v>52</v>
      </c>
      <c r="D368" s="2" t="s">
        <v>24</v>
      </c>
      <c r="E368" s="2" t="s">
        <v>390</v>
      </c>
      <c r="F368" s="2"/>
      <c r="G368" s="97">
        <f t="shared" ref="G368:H368" si="175">G369</f>
        <v>4498.82</v>
      </c>
      <c r="H368" s="97">
        <f t="shared" si="175"/>
        <v>4449.0502099999994</v>
      </c>
      <c r="I368" s="63">
        <f t="shared" si="146"/>
        <v>98.893714574043855</v>
      </c>
    </row>
    <row r="369" spans="1:9" ht="48.75" x14ac:dyDescent="0.25">
      <c r="A369" s="2" t="s">
        <v>32</v>
      </c>
      <c r="B369" s="2" t="s">
        <v>70</v>
      </c>
      <c r="C369" s="2" t="s">
        <v>52</v>
      </c>
      <c r="D369" s="2" t="s">
        <v>24</v>
      </c>
      <c r="E369" s="2" t="s">
        <v>390</v>
      </c>
      <c r="F369" s="2" t="s">
        <v>29</v>
      </c>
      <c r="G369" s="97">
        <f>3421.33641+44.24+1033.24359</f>
        <v>4498.82</v>
      </c>
      <c r="H369" s="97">
        <f>3420.88764+19.5+1008.66257</f>
        <v>4449.0502099999994</v>
      </c>
      <c r="I369" s="63">
        <f t="shared" si="146"/>
        <v>98.893714574043855</v>
      </c>
    </row>
    <row r="370" spans="1:9" ht="40.5" customHeight="1" x14ac:dyDescent="0.25">
      <c r="A370" s="2" t="s">
        <v>444</v>
      </c>
      <c r="B370" s="2" t="s">
        <v>70</v>
      </c>
      <c r="C370" s="2" t="s">
        <v>52</v>
      </c>
      <c r="D370" s="2" t="s">
        <v>24</v>
      </c>
      <c r="E370" s="2" t="s">
        <v>391</v>
      </c>
      <c r="F370" s="2"/>
      <c r="G370" s="97">
        <f t="shared" ref="G370:H370" si="176">G371+G372</f>
        <v>4022.55</v>
      </c>
      <c r="H370" s="97">
        <f t="shared" si="176"/>
        <v>3472.4918000000002</v>
      </c>
      <c r="I370" s="63">
        <f t="shared" ref="I370:I427" si="177">H370/G370*100</f>
        <v>86.325634236988975</v>
      </c>
    </row>
    <row r="371" spans="1:9" ht="24.75" x14ac:dyDescent="0.25">
      <c r="A371" s="2" t="s">
        <v>40</v>
      </c>
      <c r="B371" s="2" t="s">
        <v>70</v>
      </c>
      <c r="C371" s="2" t="s">
        <v>52</v>
      </c>
      <c r="D371" s="2" t="s">
        <v>24</v>
      </c>
      <c r="E371" s="2" t="s">
        <v>391</v>
      </c>
      <c r="F371" s="2" t="s">
        <v>44</v>
      </c>
      <c r="G371" s="97">
        <v>3870.84</v>
      </c>
      <c r="H371" s="97">
        <f>3320.7818</f>
        <v>3320.7818000000002</v>
      </c>
      <c r="I371" s="63">
        <f t="shared" si="177"/>
        <v>85.789694226576145</v>
      </c>
    </row>
    <row r="372" spans="1:9" ht="15" customHeight="1" x14ac:dyDescent="0.25">
      <c r="A372" s="5" t="s">
        <v>64</v>
      </c>
      <c r="B372" s="2" t="s">
        <v>70</v>
      </c>
      <c r="C372" s="2" t="s">
        <v>52</v>
      </c>
      <c r="D372" s="2" t="s">
        <v>24</v>
      </c>
      <c r="E372" s="2" t="s">
        <v>391</v>
      </c>
      <c r="F372" s="2" t="s">
        <v>70</v>
      </c>
      <c r="G372" s="97">
        <f>150.81+0.9</f>
        <v>151.71</v>
      </c>
      <c r="H372" s="97">
        <f>150.81+0.9</f>
        <v>151.71</v>
      </c>
      <c r="I372" s="63">
        <f t="shared" si="177"/>
        <v>100</v>
      </c>
    </row>
    <row r="373" spans="1:9" x14ac:dyDescent="0.25">
      <c r="A373" s="2" t="s">
        <v>358</v>
      </c>
      <c r="B373" s="1" t="s">
        <v>70</v>
      </c>
      <c r="C373" s="1" t="s">
        <v>52</v>
      </c>
      <c r="D373" s="1" t="s">
        <v>24</v>
      </c>
      <c r="E373" s="1" t="s">
        <v>392</v>
      </c>
      <c r="F373" s="1"/>
      <c r="G373" s="89">
        <f>G374</f>
        <v>2072.12</v>
      </c>
      <c r="H373" s="89">
        <f t="shared" ref="H373:H375" si="178">H374</f>
        <v>2072.12</v>
      </c>
      <c r="I373" s="63">
        <f t="shared" si="177"/>
        <v>100</v>
      </c>
    </row>
    <row r="374" spans="1:9" ht="48.75" x14ac:dyDescent="0.25">
      <c r="A374" s="2" t="s">
        <v>32</v>
      </c>
      <c r="B374" s="1" t="s">
        <v>70</v>
      </c>
      <c r="C374" s="1" t="s">
        <v>52</v>
      </c>
      <c r="D374" s="1" t="s">
        <v>24</v>
      </c>
      <c r="E374" s="1" t="s">
        <v>392</v>
      </c>
      <c r="F374" s="1">
        <v>100</v>
      </c>
      <c r="G374" s="89">
        <f>1591.49+480.63</f>
        <v>2072.12</v>
      </c>
      <c r="H374" s="89">
        <f>1591.49+480.63</f>
        <v>2072.12</v>
      </c>
      <c r="I374" s="63">
        <f t="shared" si="177"/>
        <v>100</v>
      </c>
    </row>
    <row r="375" spans="1:9" ht="48.75" x14ac:dyDescent="0.25">
      <c r="A375" s="2" t="s">
        <v>548</v>
      </c>
      <c r="B375" s="1" t="s">
        <v>70</v>
      </c>
      <c r="C375" s="1" t="s">
        <v>52</v>
      </c>
      <c r="D375" s="1" t="s">
        <v>24</v>
      </c>
      <c r="E375" s="1" t="s">
        <v>551</v>
      </c>
      <c r="F375" s="1"/>
      <c r="G375" s="89">
        <f>G376</f>
        <v>36.630000000000003</v>
      </c>
      <c r="H375" s="89">
        <f t="shared" si="178"/>
        <v>36.6282</v>
      </c>
      <c r="I375" s="63">
        <f t="shared" si="177"/>
        <v>99.995085995085986</v>
      </c>
    </row>
    <row r="376" spans="1:9" ht="24.75" x14ac:dyDescent="0.25">
      <c r="A376" s="2" t="s">
        <v>40</v>
      </c>
      <c r="B376" s="1" t="s">
        <v>70</v>
      </c>
      <c r="C376" s="1" t="s">
        <v>52</v>
      </c>
      <c r="D376" s="1" t="s">
        <v>24</v>
      </c>
      <c r="E376" s="1" t="s">
        <v>551</v>
      </c>
      <c r="F376" s="1" t="s">
        <v>44</v>
      </c>
      <c r="G376" s="89">
        <v>36.630000000000003</v>
      </c>
      <c r="H376" s="89">
        <v>36.6282</v>
      </c>
      <c r="I376" s="63">
        <f t="shared" si="177"/>
        <v>99.995085995085986</v>
      </c>
    </row>
    <row r="377" spans="1:9" ht="60" x14ac:dyDescent="0.2">
      <c r="A377" s="2" t="s">
        <v>281</v>
      </c>
      <c r="B377" s="1" t="s">
        <v>70</v>
      </c>
      <c r="C377" s="1" t="s">
        <v>52</v>
      </c>
      <c r="D377" s="1" t="s">
        <v>24</v>
      </c>
      <c r="E377" s="1" t="s">
        <v>282</v>
      </c>
      <c r="F377" s="1"/>
      <c r="G377" s="82">
        <f t="shared" ref="G377:H378" si="179">G378</f>
        <v>20524.000329999999</v>
      </c>
      <c r="H377" s="82">
        <f t="shared" si="179"/>
        <v>19332.578440000001</v>
      </c>
      <c r="I377" s="63">
        <f t="shared" si="177"/>
        <v>94.194982114385894</v>
      </c>
    </row>
    <row r="378" spans="1:9" ht="24" x14ac:dyDescent="0.2">
      <c r="A378" s="2" t="s">
        <v>422</v>
      </c>
      <c r="B378" s="1" t="s">
        <v>70</v>
      </c>
      <c r="C378" s="1" t="s">
        <v>52</v>
      </c>
      <c r="D378" s="1" t="s">
        <v>24</v>
      </c>
      <c r="E378" s="1" t="s">
        <v>283</v>
      </c>
      <c r="F378" s="1"/>
      <c r="G378" s="82">
        <f t="shared" si="179"/>
        <v>20524.000329999999</v>
      </c>
      <c r="H378" s="82">
        <f t="shared" si="179"/>
        <v>19332.578440000001</v>
      </c>
      <c r="I378" s="63">
        <f t="shared" si="177"/>
        <v>94.194982114385894</v>
      </c>
    </row>
    <row r="379" spans="1:9" ht="36" x14ac:dyDescent="0.2">
      <c r="A379" s="2" t="s">
        <v>423</v>
      </c>
      <c r="B379" s="1" t="s">
        <v>70</v>
      </c>
      <c r="C379" s="1" t="s">
        <v>52</v>
      </c>
      <c r="D379" s="1" t="s">
        <v>24</v>
      </c>
      <c r="E379" s="1" t="s">
        <v>284</v>
      </c>
      <c r="F379" s="1"/>
      <c r="G379" s="82">
        <f t="shared" ref="G379" si="180">G380+G381</f>
        <v>20524.000329999999</v>
      </c>
      <c r="H379" s="82">
        <f>H380+H381</f>
        <v>19332.578440000001</v>
      </c>
      <c r="I379" s="63">
        <f t="shared" si="177"/>
        <v>94.194982114385894</v>
      </c>
    </row>
    <row r="380" spans="1:9" ht="24" x14ac:dyDescent="0.2">
      <c r="A380" s="2" t="s">
        <v>40</v>
      </c>
      <c r="B380" s="1" t="s">
        <v>70</v>
      </c>
      <c r="C380" s="1" t="s">
        <v>52</v>
      </c>
      <c r="D380" s="1" t="s">
        <v>24</v>
      </c>
      <c r="E380" s="1" t="s">
        <v>284</v>
      </c>
      <c r="F380" s="1" t="s">
        <v>44</v>
      </c>
      <c r="G380" s="82">
        <f>4532.33938+13834.32095</f>
        <v>18366.660329999999</v>
      </c>
      <c r="H380" s="82">
        <f>3765.72633+13444.20368</f>
        <v>17209.93001</v>
      </c>
      <c r="I380" s="63">
        <f t="shared" si="177"/>
        <v>93.702010603906032</v>
      </c>
    </row>
    <row r="381" spans="1:9" ht="24" x14ac:dyDescent="0.2">
      <c r="A381" s="5" t="s">
        <v>64</v>
      </c>
      <c r="B381" s="1" t="s">
        <v>70</v>
      </c>
      <c r="C381" s="1" t="s">
        <v>52</v>
      </c>
      <c r="D381" s="1" t="s">
        <v>24</v>
      </c>
      <c r="E381" s="1" t="s">
        <v>284</v>
      </c>
      <c r="F381" s="1" t="s">
        <v>70</v>
      </c>
      <c r="G381" s="82">
        <f>2058.5+98.84</f>
        <v>2157.34</v>
      </c>
      <c r="H381" s="82">
        <f>2039.74049+82.90794</f>
        <v>2122.6484299999997</v>
      </c>
      <c r="I381" s="63">
        <f t="shared" si="177"/>
        <v>98.391928486005895</v>
      </c>
    </row>
    <row r="382" spans="1:9" ht="12.75" x14ac:dyDescent="0.2">
      <c r="A382" s="2" t="s">
        <v>450</v>
      </c>
      <c r="B382" s="1" t="s">
        <v>70</v>
      </c>
      <c r="C382" s="1" t="s">
        <v>52</v>
      </c>
      <c r="D382" s="1" t="s">
        <v>24</v>
      </c>
      <c r="E382" s="1" t="s">
        <v>0</v>
      </c>
      <c r="F382" s="1"/>
      <c r="G382" s="84">
        <f>G384+G385</f>
        <v>766</v>
      </c>
      <c r="H382" s="84">
        <f t="shared" ref="H382" si="181">H384+H385</f>
        <v>766</v>
      </c>
      <c r="I382" s="63">
        <f t="shared" si="177"/>
        <v>100</v>
      </c>
    </row>
    <row r="383" spans="1:9" ht="24" x14ac:dyDescent="0.2">
      <c r="A383" s="5" t="s">
        <v>452</v>
      </c>
      <c r="B383" s="1" t="s">
        <v>70</v>
      </c>
      <c r="C383" s="1" t="s">
        <v>52</v>
      </c>
      <c r="D383" s="1" t="s">
        <v>24</v>
      </c>
      <c r="E383" s="1" t="s">
        <v>451</v>
      </c>
      <c r="F383" s="1"/>
      <c r="G383" s="84">
        <f>G384</f>
        <v>560</v>
      </c>
      <c r="H383" s="84">
        <f t="shared" ref="H383" si="182">H384</f>
        <v>560</v>
      </c>
      <c r="I383" s="63">
        <f t="shared" si="177"/>
        <v>100</v>
      </c>
    </row>
    <row r="384" spans="1:9" ht="13.5" customHeight="1" x14ac:dyDescent="0.2">
      <c r="A384" s="5" t="s">
        <v>64</v>
      </c>
      <c r="B384" s="1" t="s">
        <v>70</v>
      </c>
      <c r="C384" s="1" t="s">
        <v>52</v>
      </c>
      <c r="D384" s="1" t="s">
        <v>24</v>
      </c>
      <c r="E384" s="1" t="s">
        <v>451</v>
      </c>
      <c r="F384" s="1" t="s">
        <v>70</v>
      </c>
      <c r="G384" s="84">
        <v>560</v>
      </c>
      <c r="H384" s="84">
        <v>560</v>
      </c>
      <c r="I384" s="63">
        <f t="shared" si="177"/>
        <v>100</v>
      </c>
    </row>
    <row r="385" spans="1:9" ht="12.75" x14ac:dyDescent="0.2">
      <c r="A385" s="2" t="s">
        <v>39</v>
      </c>
      <c r="B385" s="1" t="s">
        <v>70</v>
      </c>
      <c r="C385" s="1" t="s">
        <v>52</v>
      </c>
      <c r="D385" s="1" t="s">
        <v>24</v>
      </c>
      <c r="E385" s="1" t="s">
        <v>37</v>
      </c>
      <c r="F385" s="1"/>
      <c r="G385" s="84">
        <f>G386</f>
        <v>206</v>
      </c>
      <c r="H385" s="84">
        <f t="shared" ref="H385" si="183">H386</f>
        <v>206</v>
      </c>
      <c r="I385" s="63">
        <f t="shared" si="177"/>
        <v>100</v>
      </c>
    </row>
    <row r="386" spans="1:9" ht="24" x14ac:dyDescent="0.2">
      <c r="A386" s="2" t="s">
        <v>40</v>
      </c>
      <c r="B386" s="1" t="s">
        <v>70</v>
      </c>
      <c r="C386" s="1" t="s">
        <v>52</v>
      </c>
      <c r="D386" s="1" t="s">
        <v>24</v>
      </c>
      <c r="E386" s="1" t="s">
        <v>37</v>
      </c>
      <c r="F386" s="1" t="s">
        <v>44</v>
      </c>
      <c r="G386" s="84">
        <v>206</v>
      </c>
      <c r="H386" s="84">
        <v>206</v>
      </c>
      <c r="I386" s="63">
        <f t="shared" si="177"/>
        <v>100</v>
      </c>
    </row>
    <row r="387" spans="1:9" ht="12.75" x14ac:dyDescent="0.2">
      <c r="A387" s="2" t="s">
        <v>85</v>
      </c>
      <c r="B387" s="1" t="s">
        <v>70</v>
      </c>
      <c r="C387" s="1" t="s">
        <v>30</v>
      </c>
      <c r="D387" s="1"/>
      <c r="E387" s="1"/>
      <c r="F387" s="1"/>
      <c r="G387" s="98">
        <f>G397+G436+G388</f>
        <v>27446.403740000002</v>
      </c>
      <c r="H387" s="98">
        <f>H397+H436+H388</f>
        <v>23146.059570000001</v>
      </c>
      <c r="I387" s="63">
        <f t="shared" si="177"/>
        <v>84.331848315221208</v>
      </c>
    </row>
    <row r="388" spans="1:9" ht="12.75" x14ac:dyDescent="0.2">
      <c r="A388" s="2" t="s">
        <v>84</v>
      </c>
      <c r="B388" s="1" t="s">
        <v>70</v>
      </c>
      <c r="C388" s="1" t="s">
        <v>30</v>
      </c>
      <c r="D388" s="1" t="s">
        <v>12</v>
      </c>
      <c r="E388" s="1"/>
      <c r="F388" s="1"/>
      <c r="G388" s="98">
        <f>G389+G394</f>
        <v>6699.2</v>
      </c>
      <c r="H388" s="98">
        <f>H389+H394</f>
        <v>5844.2</v>
      </c>
      <c r="I388" s="63">
        <f t="shared" si="177"/>
        <v>87.237282063529975</v>
      </c>
    </row>
    <row r="389" spans="1:9" s="25" customFormat="1" ht="24.75" x14ac:dyDescent="0.25">
      <c r="A389" s="2" t="s">
        <v>393</v>
      </c>
      <c r="B389" s="1" t="s">
        <v>70</v>
      </c>
      <c r="C389" s="1" t="s">
        <v>30</v>
      </c>
      <c r="D389" s="1" t="s">
        <v>12</v>
      </c>
      <c r="E389" s="1" t="s">
        <v>324</v>
      </c>
      <c r="F389" s="1"/>
      <c r="G389" s="69">
        <f>G390</f>
        <v>1800</v>
      </c>
      <c r="H389" s="69">
        <f t="shared" ref="H389:H392" si="184">H390</f>
        <v>1800</v>
      </c>
      <c r="I389" s="63">
        <f t="shared" si="177"/>
        <v>100</v>
      </c>
    </row>
    <row r="390" spans="1:9" s="25" customFormat="1" ht="39.75" customHeight="1" x14ac:dyDescent="0.25">
      <c r="A390" s="2" t="s">
        <v>258</v>
      </c>
      <c r="B390" s="1" t="s">
        <v>70</v>
      </c>
      <c r="C390" s="1" t="s">
        <v>30</v>
      </c>
      <c r="D390" s="1" t="s">
        <v>12</v>
      </c>
      <c r="E390" s="1" t="s">
        <v>303</v>
      </c>
      <c r="F390" s="1"/>
      <c r="G390" s="69">
        <f>G391</f>
        <v>1800</v>
      </c>
      <c r="H390" s="69">
        <f t="shared" si="184"/>
        <v>1800</v>
      </c>
      <c r="I390" s="63">
        <f t="shared" si="177"/>
        <v>100</v>
      </c>
    </row>
    <row r="391" spans="1:9" s="25" customFormat="1" ht="41.25" customHeight="1" x14ac:dyDescent="0.25">
      <c r="A391" s="2" t="s">
        <v>259</v>
      </c>
      <c r="B391" s="1" t="s">
        <v>70</v>
      </c>
      <c r="C391" s="1" t="s">
        <v>30</v>
      </c>
      <c r="D391" s="1" t="s">
        <v>12</v>
      </c>
      <c r="E391" s="1" t="s">
        <v>302</v>
      </c>
      <c r="F391" s="1"/>
      <c r="G391" s="69">
        <f>G392</f>
        <v>1800</v>
      </c>
      <c r="H391" s="69">
        <f t="shared" si="184"/>
        <v>1800</v>
      </c>
      <c r="I391" s="63">
        <f t="shared" si="177"/>
        <v>100</v>
      </c>
    </row>
    <row r="392" spans="1:9" s="25" customFormat="1" ht="23.25" customHeight="1" x14ac:dyDescent="0.25">
      <c r="A392" s="2" t="s">
        <v>527</v>
      </c>
      <c r="B392" s="1" t="s">
        <v>70</v>
      </c>
      <c r="C392" s="1" t="s">
        <v>30</v>
      </c>
      <c r="D392" s="1" t="s">
        <v>12</v>
      </c>
      <c r="E392" s="1" t="s">
        <v>528</v>
      </c>
      <c r="F392" s="1"/>
      <c r="G392" s="69">
        <f>G393</f>
        <v>1800</v>
      </c>
      <c r="H392" s="69">
        <f t="shared" si="184"/>
        <v>1800</v>
      </c>
      <c r="I392" s="63">
        <f t="shared" si="177"/>
        <v>100</v>
      </c>
    </row>
    <row r="393" spans="1:9" s="25" customFormat="1" ht="24.75" x14ac:dyDescent="0.25">
      <c r="A393" s="2" t="s">
        <v>61</v>
      </c>
      <c r="B393" s="1" t="s">
        <v>70</v>
      </c>
      <c r="C393" s="1" t="s">
        <v>30</v>
      </c>
      <c r="D393" s="1" t="s">
        <v>12</v>
      </c>
      <c r="E393" s="1" t="s">
        <v>528</v>
      </c>
      <c r="F393" s="1" t="s">
        <v>387</v>
      </c>
      <c r="G393" s="69">
        <v>1800</v>
      </c>
      <c r="H393" s="69">
        <v>1800</v>
      </c>
      <c r="I393" s="63">
        <f t="shared" si="177"/>
        <v>100</v>
      </c>
    </row>
    <row r="394" spans="1:9" s="25" customFormat="1" x14ac:dyDescent="0.25">
      <c r="A394" s="2" t="s">
        <v>450</v>
      </c>
      <c r="B394" s="1" t="s">
        <v>70</v>
      </c>
      <c r="C394" s="1" t="s">
        <v>30</v>
      </c>
      <c r="D394" s="1" t="s">
        <v>12</v>
      </c>
      <c r="E394" s="1" t="s">
        <v>0</v>
      </c>
      <c r="F394" s="1"/>
      <c r="G394" s="69">
        <f>G395</f>
        <v>4899.2</v>
      </c>
      <c r="H394" s="69">
        <f t="shared" ref="H394:H395" si="185">H395</f>
        <v>4044.2</v>
      </c>
      <c r="I394" s="63">
        <f t="shared" si="177"/>
        <v>82.548171129980403</v>
      </c>
    </row>
    <row r="395" spans="1:9" s="25" customFormat="1" ht="24" x14ac:dyDescent="0.25">
      <c r="A395" s="5" t="s">
        <v>452</v>
      </c>
      <c r="B395" s="1" t="s">
        <v>70</v>
      </c>
      <c r="C395" s="1" t="s">
        <v>30</v>
      </c>
      <c r="D395" s="1" t="s">
        <v>12</v>
      </c>
      <c r="E395" s="1" t="s">
        <v>451</v>
      </c>
      <c r="F395" s="1"/>
      <c r="G395" s="69">
        <f>G396</f>
        <v>4899.2</v>
      </c>
      <c r="H395" s="69">
        <f t="shared" si="185"/>
        <v>4044.2</v>
      </c>
      <c r="I395" s="63">
        <f t="shared" si="177"/>
        <v>82.548171129980403</v>
      </c>
    </row>
    <row r="396" spans="1:9" s="25" customFormat="1" ht="18" customHeight="1" x14ac:dyDescent="0.25">
      <c r="A396" s="5" t="s">
        <v>64</v>
      </c>
      <c r="B396" s="1" t="s">
        <v>70</v>
      </c>
      <c r="C396" s="1" t="s">
        <v>30</v>
      </c>
      <c r="D396" s="1" t="s">
        <v>12</v>
      </c>
      <c r="E396" s="1" t="s">
        <v>451</v>
      </c>
      <c r="F396" s="1" t="s">
        <v>70</v>
      </c>
      <c r="G396" s="69">
        <v>4899.2</v>
      </c>
      <c r="H396" s="69">
        <v>4044.2</v>
      </c>
      <c r="I396" s="63">
        <f t="shared" si="177"/>
        <v>82.548171129980403</v>
      </c>
    </row>
    <row r="397" spans="1:9" ht="12.75" x14ac:dyDescent="0.2">
      <c r="A397" s="2" t="s">
        <v>83</v>
      </c>
      <c r="B397" s="1" t="s">
        <v>70</v>
      </c>
      <c r="C397" s="1" t="s">
        <v>30</v>
      </c>
      <c r="D397" s="1" t="s">
        <v>23</v>
      </c>
      <c r="E397" s="1"/>
      <c r="F397" s="1"/>
      <c r="G397" s="92">
        <f>G398+G432</f>
        <v>19660.522390000002</v>
      </c>
      <c r="H397" s="92">
        <f>H398+H432</f>
        <v>16771.90957</v>
      </c>
      <c r="I397" s="63">
        <f t="shared" si="177"/>
        <v>85.307547975076972</v>
      </c>
    </row>
    <row r="398" spans="1:9" ht="36" x14ac:dyDescent="0.2">
      <c r="A398" s="2" t="s">
        <v>199</v>
      </c>
      <c r="B398" s="1" t="s">
        <v>70</v>
      </c>
      <c r="C398" s="1" t="s">
        <v>30</v>
      </c>
      <c r="D398" s="1" t="s">
        <v>23</v>
      </c>
      <c r="E398" s="1" t="s">
        <v>1</v>
      </c>
      <c r="F398" s="1"/>
      <c r="G398" s="88">
        <f>G407+G399</f>
        <v>19081.360340000003</v>
      </c>
      <c r="H398" s="88">
        <f t="shared" ref="H398" si="186">H407+H399</f>
        <v>16193.41257</v>
      </c>
      <c r="I398" s="63">
        <f t="shared" si="177"/>
        <v>84.865084467033327</v>
      </c>
    </row>
    <row r="399" spans="1:9" ht="51.75" customHeight="1" x14ac:dyDescent="0.2">
      <c r="A399" s="2" t="s">
        <v>534</v>
      </c>
      <c r="B399" s="1" t="s">
        <v>70</v>
      </c>
      <c r="C399" s="1" t="s">
        <v>30</v>
      </c>
      <c r="D399" s="1" t="s">
        <v>23</v>
      </c>
      <c r="E399" s="1" t="s">
        <v>531</v>
      </c>
      <c r="F399" s="1"/>
      <c r="G399" s="88">
        <f>G400+G405</f>
        <v>2199.433</v>
      </c>
      <c r="H399" s="88">
        <f t="shared" ref="H399" si="187">H400+H405</f>
        <v>1400.5934199999999</v>
      </c>
      <c r="I399" s="63">
        <f t="shared" si="177"/>
        <v>63.67974928083737</v>
      </c>
    </row>
    <row r="400" spans="1:9" ht="24" x14ac:dyDescent="0.2">
      <c r="A400" s="2" t="s">
        <v>535</v>
      </c>
      <c r="B400" s="1" t="s">
        <v>70</v>
      </c>
      <c r="C400" s="1" t="s">
        <v>30</v>
      </c>
      <c r="D400" s="1" t="s">
        <v>23</v>
      </c>
      <c r="E400" s="1" t="s">
        <v>533</v>
      </c>
      <c r="F400" s="1"/>
      <c r="G400" s="88">
        <f>G401+G403</f>
        <v>2144.433</v>
      </c>
      <c r="H400" s="88">
        <f t="shared" ref="H400" si="188">H401+H403</f>
        <v>1355.5934199999999</v>
      </c>
      <c r="I400" s="63">
        <f t="shared" si="177"/>
        <v>63.21453829520437</v>
      </c>
    </row>
    <row r="401" spans="1:9" ht="24" x14ac:dyDescent="0.2">
      <c r="A401" s="2" t="s">
        <v>536</v>
      </c>
      <c r="B401" s="1" t="s">
        <v>70</v>
      </c>
      <c r="C401" s="1" t="s">
        <v>30</v>
      </c>
      <c r="D401" s="1" t="s">
        <v>23</v>
      </c>
      <c r="E401" s="1" t="s">
        <v>532</v>
      </c>
      <c r="F401" s="1"/>
      <c r="G401" s="88">
        <f>G402</f>
        <v>1391.3330000000001</v>
      </c>
      <c r="H401" s="88">
        <f t="shared" ref="H401" si="189">H402</f>
        <v>975.59341999999992</v>
      </c>
      <c r="I401" s="63">
        <f t="shared" si="177"/>
        <v>70.119333042485138</v>
      </c>
    </row>
    <row r="402" spans="1:9" ht="48" x14ac:dyDescent="0.2">
      <c r="A402" s="2" t="s">
        <v>32</v>
      </c>
      <c r="B402" s="1" t="s">
        <v>70</v>
      </c>
      <c r="C402" s="1" t="s">
        <v>30</v>
      </c>
      <c r="D402" s="1" t="s">
        <v>23</v>
      </c>
      <c r="E402" s="1" t="s">
        <v>532</v>
      </c>
      <c r="F402" s="1" t="s">
        <v>29</v>
      </c>
      <c r="G402" s="88">
        <v>1391.3330000000001</v>
      </c>
      <c r="H402" s="88">
        <f>749.30369+226.28973</f>
        <v>975.59341999999992</v>
      </c>
      <c r="I402" s="63">
        <f t="shared" si="177"/>
        <v>70.119333042485138</v>
      </c>
    </row>
    <row r="403" spans="1:9" ht="12.75" x14ac:dyDescent="0.2">
      <c r="A403" s="2" t="s">
        <v>537</v>
      </c>
      <c r="B403" s="1" t="s">
        <v>70</v>
      </c>
      <c r="C403" s="1" t="s">
        <v>30</v>
      </c>
      <c r="D403" s="1" t="s">
        <v>23</v>
      </c>
      <c r="E403" s="1" t="s">
        <v>538</v>
      </c>
      <c r="F403" s="1"/>
      <c r="G403" s="96">
        <f>G404</f>
        <v>753.1</v>
      </c>
      <c r="H403" s="96">
        <f t="shared" ref="H403:H405" si="190">H404</f>
        <v>380</v>
      </c>
      <c r="I403" s="63">
        <f t="shared" si="177"/>
        <v>50.458106493161594</v>
      </c>
    </row>
    <row r="404" spans="1:9" ht="24" x14ac:dyDescent="0.2">
      <c r="A404" s="2" t="s">
        <v>40</v>
      </c>
      <c r="B404" s="1" t="s">
        <v>70</v>
      </c>
      <c r="C404" s="1" t="s">
        <v>30</v>
      </c>
      <c r="D404" s="1" t="s">
        <v>23</v>
      </c>
      <c r="E404" s="1" t="s">
        <v>538</v>
      </c>
      <c r="F404" s="1" t="s">
        <v>44</v>
      </c>
      <c r="G404" s="88">
        <v>753.1</v>
      </c>
      <c r="H404" s="88">
        <v>380</v>
      </c>
      <c r="I404" s="63">
        <f t="shared" si="177"/>
        <v>50.458106493161594</v>
      </c>
    </row>
    <row r="405" spans="1:9" ht="40.5" customHeight="1" x14ac:dyDescent="0.2">
      <c r="A405" s="2" t="s">
        <v>548</v>
      </c>
      <c r="B405" s="1" t="s">
        <v>70</v>
      </c>
      <c r="C405" s="1" t="s">
        <v>30</v>
      </c>
      <c r="D405" s="1" t="s">
        <v>23</v>
      </c>
      <c r="E405" s="1" t="s">
        <v>552</v>
      </c>
      <c r="F405" s="1"/>
      <c r="G405" s="88">
        <f>G406</f>
        <v>55</v>
      </c>
      <c r="H405" s="88">
        <f t="shared" si="190"/>
        <v>45</v>
      </c>
      <c r="I405" s="63">
        <f t="shared" si="177"/>
        <v>81.818181818181827</v>
      </c>
    </row>
    <row r="406" spans="1:9" ht="24" x14ac:dyDescent="0.2">
      <c r="A406" s="2" t="s">
        <v>40</v>
      </c>
      <c r="B406" s="1" t="s">
        <v>70</v>
      </c>
      <c r="C406" s="1" t="s">
        <v>30</v>
      </c>
      <c r="D406" s="1" t="s">
        <v>23</v>
      </c>
      <c r="E406" s="1" t="s">
        <v>552</v>
      </c>
      <c r="F406" s="1" t="s">
        <v>44</v>
      </c>
      <c r="G406" s="88">
        <v>55</v>
      </c>
      <c r="H406" s="88">
        <v>45</v>
      </c>
      <c r="I406" s="63">
        <f t="shared" si="177"/>
        <v>81.818181818181827</v>
      </c>
    </row>
    <row r="407" spans="1:9" ht="48.75" x14ac:dyDescent="0.25">
      <c r="A407" s="2" t="s">
        <v>292</v>
      </c>
      <c r="B407" s="1" t="s">
        <v>70</v>
      </c>
      <c r="C407" s="1" t="s">
        <v>30</v>
      </c>
      <c r="D407" s="1" t="s">
        <v>23</v>
      </c>
      <c r="E407" s="1" t="s">
        <v>79</v>
      </c>
      <c r="F407" s="1"/>
      <c r="G407" s="97">
        <f>G408+G414+G423+G426+G429</f>
        <v>16881.927340000002</v>
      </c>
      <c r="H407" s="97">
        <f>H408+H414+H423+H426+H429</f>
        <v>14792.819150000001</v>
      </c>
      <c r="I407" s="63">
        <f t="shared" si="177"/>
        <v>87.625179590424651</v>
      </c>
    </row>
    <row r="408" spans="1:9" ht="24.75" x14ac:dyDescent="0.25">
      <c r="A408" s="2" t="s">
        <v>80</v>
      </c>
      <c r="B408" s="1" t="s">
        <v>70</v>
      </c>
      <c r="C408" s="1" t="s">
        <v>30</v>
      </c>
      <c r="D408" s="1" t="s">
        <v>23</v>
      </c>
      <c r="E408" s="1" t="s">
        <v>293</v>
      </c>
      <c r="F408" s="1"/>
      <c r="G408" s="97">
        <f>G412+G409</f>
        <v>2682.3323399999999</v>
      </c>
      <c r="H408" s="97">
        <f t="shared" ref="H408" si="191">H412+H409</f>
        <v>2653.5743499999999</v>
      </c>
      <c r="I408" s="63">
        <f t="shared" si="177"/>
        <v>98.927873717542397</v>
      </c>
    </row>
    <row r="409" spans="1:9" ht="24.75" x14ac:dyDescent="0.25">
      <c r="A409" s="2" t="s">
        <v>412</v>
      </c>
      <c r="B409" s="1" t="s">
        <v>70</v>
      </c>
      <c r="C409" s="1" t="s">
        <v>30</v>
      </c>
      <c r="D409" s="1" t="s">
        <v>23</v>
      </c>
      <c r="E409" s="1" t="s">
        <v>413</v>
      </c>
      <c r="F409" s="1"/>
      <c r="G409" s="97">
        <f>G411+G410</f>
        <v>1882.3323399999999</v>
      </c>
      <c r="H409" s="97">
        <f t="shared" ref="H409" si="192">H411+H410</f>
        <v>1880.78234</v>
      </c>
      <c r="I409" s="63">
        <f t="shared" si="177"/>
        <v>99.917655348789253</v>
      </c>
    </row>
    <row r="410" spans="1:9" ht="24.75" x14ac:dyDescent="0.25">
      <c r="A410" s="2" t="s">
        <v>40</v>
      </c>
      <c r="B410" s="1" t="s">
        <v>70</v>
      </c>
      <c r="C410" s="1" t="s">
        <v>30</v>
      </c>
      <c r="D410" s="1" t="s">
        <v>23</v>
      </c>
      <c r="E410" s="1" t="s">
        <v>413</v>
      </c>
      <c r="F410" s="1" t="s">
        <v>44</v>
      </c>
      <c r="G410" s="97">
        <v>1247.68634</v>
      </c>
      <c r="H410" s="97">
        <v>1246.13634</v>
      </c>
      <c r="I410" s="63">
        <f t="shared" si="177"/>
        <v>99.875770059324367</v>
      </c>
    </row>
    <row r="411" spans="1:9" ht="24.75" x14ac:dyDescent="0.25">
      <c r="A411" s="2" t="s">
        <v>61</v>
      </c>
      <c r="B411" s="1" t="s">
        <v>70</v>
      </c>
      <c r="C411" s="1" t="s">
        <v>30</v>
      </c>
      <c r="D411" s="1" t="s">
        <v>23</v>
      </c>
      <c r="E411" s="1" t="s">
        <v>413</v>
      </c>
      <c r="F411" s="1" t="s">
        <v>387</v>
      </c>
      <c r="G411" s="97">
        <v>634.64599999999996</v>
      </c>
      <c r="H411" s="97">
        <v>634.64599999999996</v>
      </c>
      <c r="I411" s="63">
        <f t="shared" si="177"/>
        <v>100</v>
      </c>
    </row>
    <row r="412" spans="1:9" ht="36.75" x14ac:dyDescent="0.25">
      <c r="A412" s="2" t="s">
        <v>230</v>
      </c>
      <c r="B412" s="1" t="s">
        <v>70</v>
      </c>
      <c r="C412" s="1" t="s">
        <v>30</v>
      </c>
      <c r="D412" s="1" t="s">
        <v>23</v>
      </c>
      <c r="E412" s="1" t="s">
        <v>294</v>
      </c>
      <c r="F412" s="1"/>
      <c r="G412" s="97">
        <f t="shared" ref="G412:H412" si="193">G413</f>
        <v>800</v>
      </c>
      <c r="H412" s="97">
        <f t="shared" si="193"/>
        <v>772.79201</v>
      </c>
      <c r="I412" s="63">
        <f t="shared" si="177"/>
        <v>96.599001250000001</v>
      </c>
    </row>
    <row r="413" spans="1:9" ht="24.75" x14ac:dyDescent="0.25">
      <c r="A413" s="2" t="s">
        <v>40</v>
      </c>
      <c r="B413" s="1" t="s">
        <v>70</v>
      </c>
      <c r="C413" s="1" t="s">
        <v>30</v>
      </c>
      <c r="D413" s="1" t="s">
        <v>23</v>
      </c>
      <c r="E413" s="1" t="s">
        <v>294</v>
      </c>
      <c r="F413" s="1" t="s">
        <v>44</v>
      </c>
      <c r="G413" s="97">
        <v>800</v>
      </c>
      <c r="H413" s="97">
        <v>772.79201</v>
      </c>
      <c r="I413" s="63">
        <f t="shared" si="177"/>
        <v>96.599001250000001</v>
      </c>
    </row>
    <row r="414" spans="1:9" ht="24.75" x14ac:dyDescent="0.25">
      <c r="A414" s="2" t="s">
        <v>231</v>
      </c>
      <c r="B414" s="1" t="s">
        <v>70</v>
      </c>
      <c r="C414" s="1" t="s">
        <v>30</v>
      </c>
      <c r="D414" s="1" t="s">
        <v>23</v>
      </c>
      <c r="E414" s="1" t="s">
        <v>232</v>
      </c>
      <c r="F414" s="1"/>
      <c r="G414" s="97">
        <f>G420+G415+G418</f>
        <v>8871.8389999999999</v>
      </c>
      <c r="H414" s="97">
        <f>H420+H415+H418</f>
        <v>8840.6180000000004</v>
      </c>
      <c r="I414" s="63">
        <f t="shared" si="177"/>
        <v>99.648088744622171</v>
      </c>
    </row>
    <row r="415" spans="1:9" x14ac:dyDescent="0.25">
      <c r="A415" s="2" t="s">
        <v>482</v>
      </c>
      <c r="B415" s="1" t="s">
        <v>70</v>
      </c>
      <c r="C415" s="1" t="s">
        <v>30</v>
      </c>
      <c r="D415" s="1" t="s">
        <v>23</v>
      </c>
      <c r="E415" s="1" t="s">
        <v>483</v>
      </c>
      <c r="F415" s="1"/>
      <c r="G415" s="97">
        <f>G417+G416</f>
        <v>746.51700000000005</v>
      </c>
      <c r="H415" s="97">
        <f t="shared" ref="H415" si="194">H417+H416</f>
        <v>715.29600000000005</v>
      </c>
      <c r="I415" s="63">
        <f t="shared" si="177"/>
        <v>95.81777775991705</v>
      </c>
    </row>
    <row r="416" spans="1:9" ht="24.75" x14ac:dyDescent="0.25">
      <c r="A416" s="2" t="s">
        <v>40</v>
      </c>
      <c r="B416" s="1" t="s">
        <v>70</v>
      </c>
      <c r="C416" s="1" t="s">
        <v>30</v>
      </c>
      <c r="D416" s="1" t="s">
        <v>23</v>
      </c>
      <c r="E416" s="1" t="s">
        <v>483</v>
      </c>
      <c r="F416" s="1" t="s">
        <v>44</v>
      </c>
      <c r="G416" s="97">
        <v>493.03399999999999</v>
      </c>
      <c r="H416" s="97">
        <v>461.81299999999999</v>
      </c>
      <c r="I416" s="63">
        <f t="shared" si="177"/>
        <v>93.667576678281819</v>
      </c>
    </row>
    <row r="417" spans="1:9" ht="16.5" customHeight="1" x14ac:dyDescent="0.25">
      <c r="A417" s="5" t="s">
        <v>64</v>
      </c>
      <c r="B417" s="1" t="s">
        <v>70</v>
      </c>
      <c r="C417" s="1" t="s">
        <v>30</v>
      </c>
      <c r="D417" s="1" t="s">
        <v>23</v>
      </c>
      <c r="E417" s="1" t="s">
        <v>483</v>
      </c>
      <c r="F417" s="1" t="s">
        <v>70</v>
      </c>
      <c r="G417" s="97">
        <v>253.483</v>
      </c>
      <c r="H417" s="97">
        <v>253.483</v>
      </c>
      <c r="I417" s="63">
        <f t="shared" si="177"/>
        <v>100</v>
      </c>
    </row>
    <row r="418" spans="1:9" ht="36.75" customHeight="1" x14ac:dyDescent="0.25">
      <c r="A418" s="5" t="s">
        <v>540</v>
      </c>
      <c r="B418" s="1" t="s">
        <v>70</v>
      </c>
      <c r="C418" s="1" t="s">
        <v>30</v>
      </c>
      <c r="D418" s="1" t="s">
        <v>23</v>
      </c>
      <c r="E418" s="1" t="s">
        <v>539</v>
      </c>
      <c r="F418" s="1"/>
      <c r="G418" s="97">
        <f>G419</f>
        <v>5000</v>
      </c>
      <c r="H418" s="97">
        <f t="shared" ref="H418" si="195">H419</f>
        <v>5000</v>
      </c>
      <c r="I418" s="63">
        <f t="shared" si="177"/>
        <v>100</v>
      </c>
    </row>
    <row r="419" spans="1:9" ht="13.5" customHeight="1" x14ac:dyDescent="0.25">
      <c r="A419" s="5" t="s">
        <v>64</v>
      </c>
      <c r="B419" s="1" t="s">
        <v>70</v>
      </c>
      <c r="C419" s="1" t="s">
        <v>30</v>
      </c>
      <c r="D419" s="1" t="s">
        <v>23</v>
      </c>
      <c r="E419" s="1" t="s">
        <v>539</v>
      </c>
      <c r="F419" s="1" t="s">
        <v>70</v>
      </c>
      <c r="G419" s="97">
        <v>5000</v>
      </c>
      <c r="H419" s="97">
        <v>5000</v>
      </c>
      <c r="I419" s="63">
        <f t="shared" si="177"/>
        <v>100</v>
      </c>
    </row>
    <row r="420" spans="1:9" ht="48" x14ac:dyDescent="0.25">
      <c r="A420" s="5" t="s">
        <v>257</v>
      </c>
      <c r="B420" s="1" t="s">
        <v>70</v>
      </c>
      <c r="C420" s="1" t="s">
        <v>30</v>
      </c>
      <c r="D420" s="1" t="s">
        <v>23</v>
      </c>
      <c r="E420" s="1" t="s">
        <v>331</v>
      </c>
      <c r="F420" s="1"/>
      <c r="G420" s="97">
        <f>G422+G421</f>
        <v>3125.3220000000001</v>
      </c>
      <c r="H420" s="97">
        <f t="shared" ref="H420" si="196">H422+H421</f>
        <v>3125.3220000000001</v>
      </c>
      <c r="I420" s="63">
        <f t="shared" si="177"/>
        <v>100</v>
      </c>
    </row>
    <row r="421" spans="1:9" ht="24.75" x14ac:dyDescent="0.25">
      <c r="A421" s="2" t="s">
        <v>40</v>
      </c>
      <c r="B421" s="1" t="s">
        <v>70</v>
      </c>
      <c r="C421" s="1" t="s">
        <v>30</v>
      </c>
      <c r="D421" s="1" t="s">
        <v>23</v>
      </c>
      <c r="E421" s="1" t="s">
        <v>331</v>
      </c>
      <c r="F421" s="1" t="s">
        <v>44</v>
      </c>
      <c r="G421" s="97">
        <v>1734.7070000000001</v>
      </c>
      <c r="H421" s="97">
        <v>1734.7070000000001</v>
      </c>
      <c r="I421" s="63">
        <f t="shared" si="177"/>
        <v>100</v>
      </c>
    </row>
    <row r="422" spans="1:9" ht="12.75" customHeight="1" x14ac:dyDescent="0.25">
      <c r="A422" s="5" t="s">
        <v>64</v>
      </c>
      <c r="B422" s="1" t="s">
        <v>70</v>
      </c>
      <c r="C422" s="1" t="s">
        <v>30</v>
      </c>
      <c r="D422" s="1" t="s">
        <v>23</v>
      </c>
      <c r="E422" s="1" t="s">
        <v>331</v>
      </c>
      <c r="F422" s="1" t="s">
        <v>70</v>
      </c>
      <c r="G422" s="97">
        <v>1390.615</v>
      </c>
      <c r="H422" s="97">
        <v>1390.615</v>
      </c>
      <c r="I422" s="63">
        <f t="shared" si="177"/>
        <v>100</v>
      </c>
    </row>
    <row r="423" spans="1:9" ht="24" customHeight="1" x14ac:dyDescent="0.25">
      <c r="A423" s="2" t="s">
        <v>381</v>
      </c>
      <c r="B423" s="1" t="s">
        <v>70</v>
      </c>
      <c r="C423" s="1" t="s">
        <v>30</v>
      </c>
      <c r="D423" s="1" t="s">
        <v>23</v>
      </c>
      <c r="E423" s="1" t="s">
        <v>382</v>
      </c>
      <c r="F423" s="1"/>
      <c r="G423" s="90">
        <f>G424</f>
        <v>829</v>
      </c>
      <c r="H423" s="90">
        <f t="shared" ref="H423:H424" si="197">H424</f>
        <v>829</v>
      </c>
      <c r="I423" s="63">
        <f t="shared" si="177"/>
        <v>100</v>
      </c>
    </row>
    <row r="424" spans="1:9" x14ac:dyDescent="0.25">
      <c r="A424" s="2" t="s">
        <v>383</v>
      </c>
      <c r="B424" s="1" t="s">
        <v>70</v>
      </c>
      <c r="C424" s="1" t="s">
        <v>30</v>
      </c>
      <c r="D424" s="1" t="s">
        <v>23</v>
      </c>
      <c r="E424" s="1" t="s">
        <v>384</v>
      </c>
      <c r="F424" s="1"/>
      <c r="G424" s="90">
        <f>G425</f>
        <v>829</v>
      </c>
      <c r="H424" s="90">
        <f t="shared" si="197"/>
        <v>829</v>
      </c>
      <c r="I424" s="63">
        <f t="shared" si="177"/>
        <v>100</v>
      </c>
    </row>
    <row r="425" spans="1:9" ht="24.75" x14ac:dyDescent="0.25">
      <c r="A425" s="2" t="s">
        <v>40</v>
      </c>
      <c r="B425" s="1" t="s">
        <v>70</v>
      </c>
      <c r="C425" s="1" t="s">
        <v>30</v>
      </c>
      <c r="D425" s="1" t="s">
        <v>23</v>
      </c>
      <c r="E425" s="1" t="s">
        <v>384</v>
      </c>
      <c r="F425" s="1" t="s">
        <v>44</v>
      </c>
      <c r="G425" s="90">
        <v>829</v>
      </c>
      <c r="H425" s="90">
        <v>829</v>
      </c>
      <c r="I425" s="63">
        <f t="shared" si="177"/>
        <v>100</v>
      </c>
    </row>
    <row r="426" spans="1:9" ht="24" x14ac:dyDescent="0.25">
      <c r="A426" s="5" t="s">
        <v>513</v>
      </c>
      <c r="B426" s="1" t="s">
        <v>70</v>
      </c>
      <c r="C426" s="1" t="s">
        <v>30</v>
      </c>
      <c r="D426" s="1" t="s">
        <v>23</v>
      </c>
      <c r="E426" s="1" t="s">
        <v>514</v>
      </c>
      <c r="F426" s="1"/>
      <c r="G426" s="90">
        <f>G427</f>
        <v>2898.7559999999999</v>
      </c>
      <c r="H426" s="90">
        <f t="shared" ref="H426" si="198">H427</f>
        <v>869.6268</v>
      </c>
      <c r="I426" s="63">
        <f t="shared" si="177"/>
        <v>30</v>
      </c>
    </row>
    <row r="427" spans="1:9" ht="24.75" x14ac:dyDescent="0.25">
      <c r="A427" s="2" t="s">
        <v>476</v>
      </c>
      <c r="B427" s="1" t="s">
        <v>70</v>
      </c>
      <c r="C427" s="1" t="s">
        <v>30</v>
      </c>
      <c r="D427" s="1" t="s">
        <v>23</v>
      </c>
      <c r="E427" s="1" t="s">
        <v>512</v>
      </c>
      <c r="F427" s="1"/>
      <c r="G427" s="90">
        <f>G428</f>
        <v>2898.7559999999999</v>
      </c>
      <c r="H427" s="90">
        <f>H428</f>
        <v>869.6268</v>
      </c>
      <c r="I427" s="63">
        <f t="shared" si="177"/>
        <v>30</v>
      </c>
    </row>
    <row r="428" spans="1:9" ht="24.75" x14ac:dyDescent="0.25">
      <c r="A428" s="2" t="s">
        <v>40</v>
      </c>
      <c r="B428" s="1" t="s">
        <v>70</v>
      </c>
      <c r="C428" s="1" t="s">
        <v>30</v>
      </c>
      <c r="D428" s="1" t="s">
        <v>23</v>
      </c>
      <c r="E428" s="1" t="s">
        <v>512</v>
      </c>
      <c r="F428" s="1" t="s">
        <v>44</v>
      </c>
      <c r="G428" s="90">
        <v>2898.7559999999999</v>
      </c>
      <c r="H428" s="90">
        <v>869.6268</v>
      </c>
      <c r="I428" s="63">
        <f t="shared" ref="I428:I489" si="199">H428/G428*100</f>
        <v>30</v>
      </c>
    </row>
    <row r="429" spans="1:9" ht="24" x14ac:dyDescent="0.25">
      <c r="A429" s="5" t="s">
        <v>513</v>
      </c>
      <c r="B429" s="1" t="s">
        <v>70</v>
      </c>
      <c r="C429" s="1" t="s">
        <v>30</v>
      </c>
      <c r="D429" s="1" t="s">
        <v>23</v>
      </c>
      <c r="E429" s="1" t="s">
        <v>515</v>
      </c>
      <c r="F429" s="1"/>
      <c r="G429" s="90">
        <f>G430</f>
        <v>1600</v>
      </c>
      <c r="H429" s="90">
        <f t="shared" ref="H429:H430" si="200">H430</f>
        <v>1600</v>
      </c>
      <c r="I429" s="63">
        <f t="shared" si="199"/>
        <v>100</v>
      </c>
    </row>
    <row r="430" spans="1:9" ht="24.75" x14ac:dyDescent="0.25">
      <c r="A430" s="2" t="s">
        <v>520</v>
      </c>
      <c r="B430" s="1" t="s">
        <v>70</v>
      </c>
      <c r="C430" s="1" t="s">
        <v>30</v>
      </c>
      <c r="D430" s="1" t="s">
        <v>23</v>
      </c>
      <c r="E430" s="1" t="s">
        <v>516</v>
      </c>
      <c r="F430" s="1"/>
      <c r="G430" s="90">
        <f>G431</f>
        <v>1600</v>
      </c>
      <c r="H430" s="90">
        <f t="shared" si="200"/>
        <v>1600</v>
      </c>
      <c r="I430" s="63">
        <f t="shared" si="199"/>
        <v>100</v>
      </c>
    </row>
    <row r="431" spans="1:9" ht="24.75" x14ac:dyDescent="0.25">
      <c r="A431" s="2" t="s">
        <v>40</v>
      </c>
      <c r="B431" s="1" t="s">
        <v>70</v>
      </c>
      <c r="C431" s="1" t="s">
        <v>30</v>
      </c>
      <c r="D431" s="1" t="s">
        <v>23</v>
      </c>
      <c r="E431" s="1" t="s">
        <v>516</v>
      </c>
      <c r="F431" s="1" t="s">
        <v>44</v>
      </c>
      <c r="G431" s="90">
        <v>1600</v>
      </c>
      <c r="H431" s="90">
        <v>1600</v>
      </c>
      <c r="I431" s="63">
        <f t="shared" si="199"/>
        <v>100</v>
      </c>
    </row>
    <row r="432" spans="1:9" ht="12.75" x14ac:dyDescent="0.2">
      <c r="A432" s="2" t="s">
        <v>450</v>
      </c>
      <c r="B432" s="1" t="s">
        <v>70</v>
      </c>
      <c r="C432" s="1" t="s">
        <v>30</v>
      </c>
      <c r="D432" s="1" t="s">
        <v>23</v>
      </c>
      <c r="E432" s="1" t="s">
        <v>0</v>
      </c>
      <c r="F432" s="1"/>
      <c r="G432" s="84">
        <f>G433</f>
        <v>579.16205000000002</v>
      </c>
      <c r="H432" s="84">
        <f t="shared" ref="H432:H433" si="201">H433</f>
        <v>578.49699999999996</v>
      </c>
      <c r="I432" s="63">
        <f t="shared" si="199"/>
        <v>99.885170307688483</v>
      </c>
    </row>
    <row r="433" spans="1:9" ht="12.75" x14ac:dyDescent="0.2">
      <c r="A433" s="2" t="s">
        <v>39</v>
      </c>
      <c r="B433" s="1" t="s">
        <v>70</v>
      </c>
      <c r="C433" s="1" t="s">
        <v>30</v>
      </c>
      <c r="D433" s="1" t="s">
        <v>23</v>
      </c>
      <c r="E433" s="1" t="s">
        <v>37</v>
      </c>
      <c r="F433" s="1"/>
      <c r="G433" s="84">
        <f>G434</f>
        <v>579.16205000000002</v>
      </c>
      <c r="H433" s="84">
        <f t="shared" si="201"/>
        <v>578.49699999999996</v>
      </c>
      <c r="I433" s="63">
        <f t="shared" si="199"/>
        <v>99.885170307688483</v>
      </c>
    </row>
    <row r="434" spans="1:9" ht="24" x14ac:dyDescent="0.2">
      <c r="A434" s="2" t="s">
        <v>40</v>
      </c>
      <c r="B434" s="1" t="s">
        <v>70</v>
      </c>
      <c r="C434" s="1" t="s">
        <v>30</v>
      </c>
      <c r="D434" s="1" t="s">
        <v>23</v>
      </c>
      <c r="E434" s="1" t="s">
        <v>37</v>
      </c>
      <c r="F434" s="1" t="s">
        <v>44</v>
      </c>
      <c r="G434" s="84">
        <v>579.16205000000002</v>
      </c>
      <c r="H434" s="84">
        <v>578.49699999999996</v>
      </c>
      <c r="I434" s="63">
        <f t="shared" si="199"/>
        <v>99.885170307688483</v>
      </c>
    </row>
    <row r="435" spans="1:9" ht="36" x14ac:dyDescent="0.2">
      <c r="A435" s="2" t="s">
        <v>199</v>
      </c>
      <c r="B435" s="1" t="s">
        <v>70</v>
      </c>
      <c r="C435" s="1" t="s">
        <v>30</v>
      </c>
      <c r="D435" s="1" t="s">
        <v>6</v>
      </c>
      <c r="E435" s="1" t="s">
        <v>1</v>
      </c>
      <c r="F435" s="1"/>
      <c r="G435" s="88">
        <f>G436</f>
        <v>1086.6813500000001</v>
      </c>
      <c r="H435" s="88">
        <f t="shared" ref="H435" si="202">H436</f>
        <v>529.95000000000005</v>
      </c>
      <c r="I435" s="63">
        <f t="shared" si="199"/>
        <v>48.767745945027954</v>
      </c>
    </row>
    <row r="436" spans="1:9" ht="48.75" x14ac:dyDescent="0.25">
      <c r="A436" s="2" t="s">
        <v>292</v>
      </c>
      <c r="B436" s="1" t="s">
        <v>70</v>
      </c>
      <c r="C436" s="1" t="s">
        <v>30</v>
      </c>
      <c r="D436" s="1" t="s">
        <v>6</v>
      </c>
      <c r="E436" s="1" t="s">
        <v>79</v>
      </c>
      <c r="F436" s="1"/>
      <c r="G436" s="90">
        <f t="shared" ref="G436:H438" si="203">G437</f>
        <v>1086.6813500000001</v>
      </c>
      <c r="H436" s="90">
        <f t="shared" si="203"/>
        <v>529.95000000000005</v>
      </c>
      <c r="I436" s="63">
        <f t="shared" si="199"/>
        <v>48.767745945027954</v>
      </c>
    </row>
    <row r="437" spans="1:9" ht="24.75" x14ac:dyDescent="0.25">
      <c r="A437" s="2" t="s">
        <v>381</v>
      </c>
      <c r="B437" s="1" t="s">
        <v>70</v>
      </c>
      <c r="C437" s="1" t="s">
        <v>30</v>
      </c>
      <c r="D437" s="1" t="s">
        <v>6</v>
      </c>
      <c r="E437" s="1" t="s">
        <v>382</v>
      </c>
      <c r="F437" s="1"/>
      <c r="G437" s="90">
        <f t="shared" si="203"/>
        <v>1086.6813500000001</v>
      </c>
      <c r="H437" s="90">
        <f t="shared" si="203"/>
        <v>529.95000000000005</v>
      </c>
      <c r="I437" s="63">
        <f t="shared" si="199"/>
        <v>48.767745945027954</v>
      </c>
    </row>
    <row r="438" spans="1:9" ht="24.75" x14ac:dyDescent="0.25">
      <c r="A438" s="2" t="s">
        <v>385</v>
      </c>
      <c r="B438" s="1" t="s">
        <v>70</v>
      </c>
      <c r="C438" s="1" t="s">
        <v>30</v>
      </c>
      <c r="D438" s="1" t="s">
        <v>6</v>
      </c>
      <c r="E438" s="1" t="s">
        <v>386</v>
      </c>
      <c r="F438" s="1"/>
      <c r="G438" s="90">
        <f>G439</f>
        <v>1086.6813500000001</v>
      </c>
      <c r="H438" s="90">
        <f t="shared" si="203"/>
        <v>529.95000000000005</v>
      </c>
      <c r="I438" s="63">
        <f t="shared" si="199"/>
        <v>48.767745945027954</v>
      </c>
    </row>
    <row r="439" spans="1:9" ht="24.75" x14ac:dyDescent="0.25">
      <c r="A439" s="2" t="s">
        <v>40</v>
      </c>
      <c r="B439" s="1" t="s">
        <v>70</v>
      </c>
      <c r="C439" s="1" t="s">
        <v>30</v>
      </c>
      <c r="D439" s="1" t="s">
        <v>6</v>
      </c>
      <c r="E439" s="1" t="s">
        <v>386</v>
      </c>
      <c r="F439" s="1" t="s">
        <v>44</v>
      </c>
      <c r="G439" s="69">
        <v>1086.6813500000001</v>
      </c>
      <c r="H439" s="90">
        <v>529.95000000000005</v>
      </c>
      <c r="I439" s="63">
        <f t="shared" si="199"/>
        <v>48.767745945027954</v>
      </c>
    </row>
    <row r="440" spans="1:9" ht="12.75" x14ac:dyDescent="0.2">
      <c r="A440" s="2" t="s">
        <v>160</v>
      </c>
      <c r="B440" s="1" t="s">
        <v>70</v>
      </c>
      <c r="C440" s="1" t="s">
        <v>69</v>
      </c>
      <c r="D440" s="1"/>
      <c r="E440" s="1"/>
      <c r="F440" s="1"/>
      <c r="G440" s="63">
        <f t="shared" ref="G440:H443" si="204">G441</f>
        <v>482.4</v>
      </c>
      <c r="H440" s="63">
        <f t="shared" si="204"/>
        <v>0</v>
      </c>
      <c r="I440" s="63">
        <f t="shared" si="199"/>
        <v>0</v>
      </c>
    </row>
    <row r="441" spans="1:9" ht="12.75" x14ac:dyDescent="0.2">
      <c r="A441" s="2" t="s">
        <v>76</v>
      </c>
      <c r="B441" s="1" t="s">
        <v>70</v>
      </c>
      <c r="C441" s="1" t="s">
        <v>69</v>
      </c>
      <c r="D441" s="1" t="s">
        <v>23</v>
      </c>
      <c r="E441" s="1"/>
      <c r="F441" s="1"/>
      <c r="G441" s="63">
        <f>G442</f>
        <v>482.4</v>
      </c>
      <c r="H441" s="63">
        <f t="shared" si="204"/>
        <v>0</v>
      </c>
      <c r="I441" s="63">
        <f t="shared" si="199"/>
        <v>0</v>
      </c>
    </row>
    <row r="442" spans="1:9" ht="36" x14ac:dyDescent="0.2">
      <c r="A442" s="2" t="s">
        <v>258</v>
      </c>
      <c r="B442" s="1" t="s">
        <v>70</v>
      </c>
      <c r="C442" s="1" t="s">
        <v>69</v>
      </c>
      <c r="D442" s="1" t="s">
        <v>23</v>
      </c>
      <c r="E442" s="1" t="s">
        <v>303</v>
      </c>
      <c r="F442" s="1"/>
      <c r="G442" s="63">
        <f t="shared" si="204"/>
        <v>482.4</v>
      </c>
      <c r="H442" s="63">
        <f t="shared" si="204"/>
        <v>0</v>
      </c>
      <c r="I442" s="63">
        <f t="shared" si="199"/>
        <v>0</v>
      </c>
    </row>
    <row r="443" spans="1:9" ht="24" x14ac:dyDescent="0.2">
      <c r="A443" s="5" t="s">
        <v>414</v>
      </c>
      <c r="B443" s="1" t="s">
        <v>70</v>
      </c>
      <c r="C443" s="1" t="s">
        <v>69</v>
      </c>
      <c r="D443" s="1" t="s">
        <v>23</v>
      </c>
      <c r="E443" s="1" t="s">
        <v>415</v>
      </c>
      <c r="F443" s="1"/>
      <c r="G443" s="63">
        <f>G444</f>
        <v>482.4</v>
      </c>
      <c r="H443" s="63">
        <f t="shared" si="204"/>
        <v>0</v>
      </c>
      <c r="I443" s="63">
        <f t="shared" si="199"/>
        <v>0</v>
      </c>
    </row>
    <row r="444" spans="1:9" ht="36" x14ac:dyDescent="0.2">
      <c r="A444" s="5" t="s">
        <v>416</v>
      </c>
      <c r="B444" s="1" t="s">
        <v>70</v>
      </c>
      <c r="C444" s="1" t="s">
        <v>69</v>
      </c>
      <c r="D444" s="1" t="s">
        <v>23</v>
      </c>
      <c r="E444" s="1" t="s">
        <v>417</v>
      </c>
      <c r="F444" s="1"/>
      <c r="G444" s="83">
        <f>G445</f>
        <v>482.4</v>
      </c>
      <c r="H444" s="83">
        <f>H445</f>
        <v>0</v>
      </c>
      <c r="I444" s="63">
        <f t="shared" si="199"/>
        <v>0</v>
      </c>
    </row>
    <row r="445" spans="1:9" ht="24" x14ac:dyDescent="0.2">
      <c r="A445" s="2" t="s">
        <v>61</v>
      </c>
      <c r="B445" s="1" t="s">
        <v>70</v>
      </c>
      <c r="C445" s="1" t="s">
        <v>69</v>
      </c>
      <c r="D445" s="1" t="s">
        <v>23</v>
      </c>
      <c r="E445" s="1" t="s">
        <v>417</v>
      </c>
      <c r="F445" s="1" t="s">
        <v>387</v>
      </c>
      <c r="G445" s="63">
        <v>482.4</v>
      </c>
      <c r="H445" s="83"/>
      <c r="I445" s="63">
        <f t="shared" si="199"/>
        <v>0</v>
      </c>
    </row>
    <row r="446" spans="1:9" ht="12.75" x14ac:dyDescent="0.2">
      <c r="A446" s="2" t="s">
        <v>58</v>
      </c>
      <c r="B446" s="1" t="s">
        <v>70</v>
      </c>
      <c r="C446" s="1" t="s">
        <v>47</v>
      </c>
      <c r="D446" s="1" t="s">
        <v>15</v>
      </c>
      <c r="E446" s="1"/>
      <c r="F446" s="1"/>
      <c r="G446" s="63">
        <f t="shared" ref="G446:H446" si="205">G453+G447</f>
        <v>3535.9526099999998</v>
      </c>
      <c r="H446" s="63">
        <f t="shared" si="205"/>
        <v>3535.9526099999998</v>
      </c>
      <c r="I446" s="63">
        <f t="shared" si="199"/>
        <v>100</v>
      </c>
    </row>
    <row r="447" spans="1:9" ht="12.75" x14ac:dyDescent="0.2">
      <c r="A447" s="2" t="s">
        <v>57</v>
      </c>
      <c r="B447" s="1" t="s">
        <v>70</v>
      </c>
      <c r="C447" s="1" t="s">
        <v>47</v>
      </c>
      <c r="D447" s="1" t="s">
        <v>12</v>
      </c>
      <c r="E447" s="1"/>
      <c r="F447" s="1"/>
      <c r="G447" s="63">
        <f t="shared" ref="G447:H447" si="206">G449</f>
        <v>996.06065999999998</v>
      </c>
      <c r="H447" s="63">
        <f t="shared" si="206"/>
        <v>996.06065999999998</v>
      </c>
      <c r="I447" s="63">
        <f t="shared" si="199"/>
        <v>100</v>
      </c>
    </row>
    <row r="448" spans="1:9" ht="24" x14ac:dyDescent="0.2">
      <c r="A448" s="2" t="s">
        <v>394</v>
      </c>
      <c r="B448" s="1" t="s">
        <v>70</v>
      </c>
      <c r="C448" s="1" t="s">
        <v>47</v>
      </c>
      <c r="D448" s="1" t="s">
        <v>12</v>
      </c>
      <c r="E448" s="1" t="s">
        <v>3</v>
      </c>
      <c r="F448" s="1"/>
      <c r="G448" s="63">
        <f>G449</f>
        <v>996.06065999999998</v>
      </c>
      <c r="H448" s="63">
        <f t="shared" ref="H448" si="207">H449</f>
        <v>996.06065999999998</v>
      </c>
      <c r="I448" s="63">
        <f t="shared" si="199"/>
        <v>100</v>
      </c>
    </row>
    <row r="449" spans="1:9" ht="36" x14ac:dyDescent="0.2">
      <c r="A449" s="2" t="s">
        <v>233</v>
      </c>
      <c r="B449" s="1" t="s">
        <v>70</v>
      </c>
      <c r="C449" s="1" t="s">
        <v>47</v>
      </c>
      <c r="D449" s="1" t="s">
        <v>12</v>
      </c>
      <c r="E449" s="1" t="s">
        <v>50</v>
      </c>
      <c r="F449" s="1"/>
      <c r="G449" s="63">
        <f t="shared" ref="G449:H451" si="208">G450</f>
        <v>996.06065999999998</v>
      </c>
      <c r="H449" s="63">
        <f t="shared" si="208"/>
        <v>996.06065999999998</v>
      </c>
      <c r="I449" s="63">
        <f t="shared" si="199"/>
        <v>100</v>
      </c>
    </row>
    <row r="450" spans="1:9" ht="36" x14ac:dyDescent="0.2">
      <c r="A450" s="2" t="s">
        <v>206</v>
      </c>
      <c r="B450" s="1" t="s">
        <v>70</v>
      </c>
      <c r="C450" s="1" t="s">
        <v>47</v>
      </c>
      <c r="D450" s="1" t="s">
        <v>12</v>
      </c>
      <c r="E450" s="1" t="s">
        <v>234</v>
      </c>
      <c r="F450" s="1"/>
      <c r="G450" s="63">
        <f t="shared" si="208"/>
        <v>996.06065999999998</v>
      </c>
      <c r="H450" s="63">
        <f t="shared" si="208"/>
        <v>996.06065999999998</v>
      </c>
      <c r="I450" s="63">
        <f t="shared" si="199"/>
        <v>100</v>
      </c>
    </row>
    <row r="451" spans="1:9" ht="24" x14ac:dyDescent="0.2">
      <c r="A451" s="5" t="s">
        <v>235</v>
      </c>
      <c r="B451" s="1" t="s">
        <v>70</v>
      </c>
      <c r="C451" s="1" t="s">
        <v>47</v>
      </c>
      <c r="D451" s="1" t="s">
        <v>12</v>
      </c>
      <c r="E451" s="1" t="s">
        <v>236</v>
      </c>
      <c r="F451" s="1"/>
      <c r="G451" s="63">
        <f t="shared" si="208"/>
        <v>996.06065999999998</v>
      </c>
      <c r="H451" s="63">
        <f t="shared" si="208"/>
        <v>996.06065999999998</v>
      </c>
      <c r="I451" s="63">
        <f t="shared" si="199"/>
        <v>100</v>
      </c>
    </row>
    <row r="452" spans="1:9" ht="12.75" x14ac:dyDescent="0.2">
      <c r="A452" s="5" t="s">
        <v>38</v>
      </c>
      <c r="B452" s="1" t="s">
        <v>70</v>
      </c>
      <c r="C452" s="1" t="s">
        <v>47</v>
      </c>
      <c r="D452" s="1" t="s">
        <v>12</v>
      </c>
      <c r="E452" s="1" t="s">
        <v>236</v>
      </c>
      <c r="F452" s="1" t="s">
        <v>36</v>
      </c>
      <c r="G452" s="85">
        <v>996.06065999999998</v>
      </c>
      <c r="H452" s="85">
        <v>996.06065999999998</v>
      </c>
      <c r="I452" s="63">
        <f t="shared" si="199"/>
        <v>100</v>
      </c>
    </row>
    <row r="453" spans="1:9" s="21" customFormat="1" ht="12.75" x14ac:dyDescent="0.2">
      <c r="A453" s="2" t="s">
        <v>56</v>
      </c>
      <c r="B453" s="1" t="s">
        <v>70</v>
      </c>
      <c r="C453" s="1" t="s">
        <v>47</v>
      </c>
      <c r="D453" s="1" t="s">
        <v>6</v>
      </c>
      <c r="E453" s="1"/>
      <c r="F453" s="1"/>
      <c r="G453" s="63">
        <f>G454+G459+G468</f>
        <v>2539.8919499999997</v>
      </c>
      <c r="H453" s="63">
        <f>H454+H459+H468</f>
        <v>2539.8919499999997</v>
      </c>
      <c r="I453" s="63">
        <f t="shared" si="199"/>
        <v>100</v>
      </c>
    </row>
    <row r="454" spans="1:9" ht="36" x14ac:dyDescent="0.2">
      <c r="A454" s="2" t="s">
        <v>396</v>
      </c>
      <c r="B454" s="1" t="s">
        <v>70</v>
      </c>
      <c r="C454" s="1" t="s">
        <v>47</v>
      </c>
      <c r="D454" s="1" t="s">
        <v>6</v>
      </c>
      <c r="E454" s="1" t="s">
        <v>4</v>
      </c>
      <c r="F454" s="1"/>
      <c r="G454" s="92">
        <f>G455</f>
        <v>496.49655000000001</v>
      </c>
      <c r="H454" s="92">
        <f t="shared" ref="H454" si="209">H455</f>
        <v>496.49655000000001</v>
      </c>
      <c r="I454" s="63">
        <f t="shared" si="199"/>
        <v>100</v>
      </c>
    </row>
    <row r="455" spans="1:9" s="21" customFormat="1" ht="48" x14ac:dyDescent="0.2">
      <c r="A455" s="2" t="s">
        <v>213</v>
      </c>
      <c r="B455" s="1" t="s">
        <v>70</v>
      </c>
      <c r="C455" s="1" t="s">
        <v>47</v>
      </c>
      <c r="D455" s="1" t="s">
        <v>6</v>
      </c>
      <c r="E455" s="1" t="s">
        <v>55</v>
      </c>
      <c r="F455" s="1"/>
      <c r="G455" s="88">
        <f t="shared" ref="G455:H456" si="210">G456</f>
        <v>496.49655000000001</v>
      </c>
      <c r="H455" s="88">
        <f t="shared" si="210"/>
        <v>496.49655000000001</v>
      </c>
      <c r="I455" s="63">
        <f t="shared" si="199"/>
        <v>100</v>
      </c>
    </row>
    <row r="456" spans="1:9" s="21" customFormat="1" ht="15" customHeight="1" x14ac:dyDescent="0.2">
      <c r="A456" s="2" t="s">
        <v>237</v>
      </c>
      <c r="B456" s="1" t="s">
        <v>70</v>
      </c>
      <c r="C456" s="1" t="s">
        <v>47</v>
      </c>
      <c r="D456" s="1" t="s">
        <v>6</v>
      </c>
      <c r="E456" s="1" t="s">
        <v>229</v>
      </c>
      <c r="F456" s="1"/>
      <c r="G456" s="88">
        <f>G457</f>
        <v>496.49655000000001</v>
      </c>
      <c r="H456" s="88">
        <f t="shared" si="210"/>
        <v>496.49655000000001</v>
      </c>
      <c r="I456" s="63">
        <f t="shared" si="199"/>
        <v>100</v>
      </c>
    </row>
    <row r="457" spans="1:9" s="21" customFormat="1" ht="48" x14ac:dyDescent="0.2">
      <c r="A457" s="2" t="s">
        <v>295</v>
      </c>
      <c r="B457" s="1" t="s">
        <v>70</v>
      </c>
      <c r="C457" s="1" t="s">
        <v>47</v>
      </c>
      <c r="D457" s="1" t="s">
        <v>6</v>
      </c>
      <c r="E457" s="1" t="s">
        <v>453</v>
      </c>
      <c r="F457" s="1"/>
      <c r="G457" s="88">
        <f t="shared" ref="G457:H457" si="211">G458</f>
        <v>496.49655000000001</v>
      </c>
      <c r="H457" s="88">
        <f t="shared" si="211"/>
        <v>496.49655000000001</v>
      </c>
      <c r="I457" s="63">
        <f t="shared" si="199"/>
        <v>100</v>
      </c>
    </row>
    <row r="458" spans="1:9" s="21" customFormat="1" ht="12.75" x14ac:dyDescent="0.2">
      <c r="A458" s="2" t="s">
        <v>38</v>
      </c>
      <c r="B458" s="1" t="s">
        <v>70</v>
      </c>
      <c r="C458" s="1" t="s">
        <v>47</v>
      </c>
      <c r="D458" s="1" t="s">
        <v>6</v>
      </c>
      <c r="E458" s="1" t="s">
        <v>453</v>
      </c>
      <c r="F458" s="1" t="s">
        <v>36</v>
      </c>
      <c r="G458" s="88">
        <v>496.49655000000001</v>
      </c>
      <c r="H458" s="88">
        <v>496.49655000000001</v>
      </c>
      <c r="I458" s="63">
        <f t="shared" si="199"/>
        <v>100</v>
      </c>
    </row>
    <row r="459" spans="1:9" ht="24" x14ac:dyDescent="0.2">
      <c r="A459" s="2" t="s">
        <v>394</v>
      </c>
      <c r="B459" s="1" t="s">
        <v>70</v>
      </c>
      <c r="C459" s="1" t="s">
        <v>47</v>
      </c>
      <c r="D459" s="1" t="s">
        <v>6</v>
      </c>
      <c r="E459" s="1" t="s">
        <v>3</v>
      </c>
      <c r="F459" s="1"/>
      <c r="G459" s="63">
        <f>G464+G460</f>
        <v>1608.3953999999999</v>
      </c>
      <c r="H459" s="63">
        <f>H464+H460</f>
        <v>1608.3953999999999</v>
      </c>
      <c r="I459" s="63">
        <f t="shared" si="199"/>
        <v>100</v>
      </c>
    </row>
    <row r="460" spans="1:9" ht="36" x14ac:dyDescent="0.2">
      <c r="A460" s="2" t="s">
        <v>473</v>
      </c>
      <c r="B460" s="1" t="s">
        <v>70</v>
      </c>
      <c r="C460" s="1" t="s">
        <v>47</v>
      </c>
      <c r="D460" s="1" t="s">
        <v>6</v>
      </c>
      <c r="E460" s="1" t="s">
        <v>50</v>
      </c>
      <c r="F460" s="1"/>
      <c r="G460" s="63">
        <f>G461</f>
        <v>782.73</v>
      </c>
      <c r="H460" s="63">
        <f t="shared" ref="H460:H462" si="212">H461</f>
        <v>782.73</v>
      </c>
      <c r="I460" s="63">
        <f t="shared" si="199"/>
        <v>100</v>
      </c>
    </row>
    <row r="461" spans="1:9" ht="25.5" customHeight="1" x14ac:dyDescent="0.2">
      <c r="A461" s="5" t="s">
        <v>474</v>
      </c>
      <c r="B461" s="1" t="s">
        <v>70</v>
      </c>
      <c r="C461" s="1" t="s">
        <v>47</v>
      </c>
      <c r="D461" s="1" t="s">
        <v>6</v>
      </c>
      <c r="E461" s="1" t="s">
        <v>210</v>
      </c>
      <c r="F461" s="1"/>
      <c r="G461" s="63">
        <f>G462</f>
        <v>782.73</v>
      </c>
      <c r="H461" s="63">
        <f t="shared" si="212"/>
        <v>782.73</v>
      </c>
      <c r="I461" s="63">
        <f t="shared" si="199"/>
        <v>100</v>
      </c>
    </row>
    <row r="462" spans="1:9" ht="36" x14ac:dyDescent="0.2">
      <c r="A462" s="2" t="s">
        <v>521</v>
      </c>
      <c r="B462" s="1" t="s">
        <v>70</v>
      </c>
      <c r="C462" s="1" t="s">
        <v>47</v>
      </c>
      <c r="D462" s="1" t="s">
        <v>6</v>
      </c>
      <c r="E462" s="1" t="s">
        <v>475</v>
      </c>
      <c r="F462" s="1"/>
      <c r="G462" s="63">
        <f>G463</f>
        <v>782.73</v>
      </c>
      <c r="H462" s="63">
        <f t="shared" si="212"/>
        <v>782.73</v>
      </c>
      <c r="I462" s="63">
        <f t="shared" si="199"/>
        <v>100</v>
      </c>
    </row>
    <row r="463" spans="1:9" ht="12.75" x14ac:dyDescent="0.2">
      <c r="A463" s="2" t="s">
        <v>38</v>
      </c>
      <c r="B463" s="1" t="s">
        <v>70</v>
      </c>
      <c r="C463" s="1" t="s">
        <v>47</v>
      </c>
      <c r="D463" s="1" t="s">
        <v>6</v>
      </c>
      <c r="E463" s="1" t="s">
        <v>475</v>
      </c>
      <c r="F463" s="1" t="s">
        <v>36</v>
      </c>
      <c r="G463" s="63">
        <v>782.73</v>
      </c>
      <c r="H463" s="63">
        <v>782.73</v>
      </c>
      <c r="I463" s="63">
        <f t="shared" si="199"/>
        <v>100</v>
      </c>
    </row>
    <row r="464" spans="1:9" s="21" customFormat="1" ht="36" x14ac:dyDescent="0.2">
      <c r="A464" s="42" t="s">
        <v>297</v>
      </c>
      <c r="B464" s="1" t="s">
        <v>70</v>
      </c>
      <c r="C464" s="1" t="s">
        <v>47</v>
      </c>
      <c r="D464" s="1" t="s">
        <v>6</v>
      </c>
      <c r="E464" s="1" t="s">
        <v>325</v>
      </c>
      <c r="F464" s="1"/>
      <c r="G464" s="63">
        <f>G465</f>
        <v>825.66539999999998</v>
      </c>
      <c r="H464" s="63">
        <f t="shared" ref="H464:H466" si="213">H465</f>
        <v>825.66539999999998</v>
      </c>
      <c r="I464" s="63">
        <f t="shared" si="199"/>
        <v>100</v>
      </c>
    </row>
    <row r="465" spans="1:9" s="21" customFormat="1" ht="12.75" x14ac:dyDescent="0.2">
      <c r="A465" s="42" t="s">
        <v>298</v>
      </c>
      <c r="B465" s="1" t="s">
        <v>70</v>
      </c>
      <c r="C465" s="1" t="s">
        <v>47</v>
      </c>
      <c r="D465" s="1" t="s">
        <v>6</v>
      </c>
      <c r="E465" s="1" t="s">
        <v>326</v>
      </c>
      <c r="F465" s="1"/>
      <c r="G465" s="63">
        <f>G466</f>
        <v>825.66539999999998</v>
      </c>
      <c r="H465" s="63">
        <f t="shared" si="213"/>
        <v>825.66539999999998</v>
      </c>
      <c r="I465" s="63">
        <f t="shared" si="199"/>
        <v>100</v>
      </c>
    </row>
    <row r="466" spans="1:9" s="21" customFormat="1" ht="24" x14ac:dyDescent="0.2">
      <c r="A466" s="42" t="s">
        <v>342</v>
      </c>
      <c r="B466" s="1" t="s">
        <v>70</v>
      </c>
      <c r="C466" s="1" t="s">
        <v>47</v>
      </c>
      <c r="D466" s="1" t="s">
        <v>6</v>
      </c>
      <c r="E466" s="1" t="s">
        <v>343</v>
      </c>
      <c r="F466" s="1"/>
      <c r="G466" s="63">
        <f>G467</f>
        <v>825.66539999999998</v>
      </c>
      <c r="H466" s="63">
        <f t="shared" si="213"/>
        <v>825.66539999999998</v>
      </c>
      <c r="I466" s="63">
        <f t="shared" si="199"/>
        <v>100</v>
      </c>
    </row>
    <row r="467" spans="1:9" s="21" customFormat="1" ht="12.75" x14ac:dyDescent="0.2">
      <c r="A467" s="5" t="s">
        <v>38</v>
      </c>
      <c r="B467" s="1" t="s">
        <v>70</v>
      </c>
      <c r="C467" s="1" t="s">
        <v>47</v>
      </c>
      <c r="D467" s="1" t="s">
        <v>6</v>
      </c>
      <c r="E467" s="1" t="s">
        <v>343</v>
      </c>
      <c r="F467" s="1" t="s">
        <v>36</v>
      </c>
      <c r="G467" s="63">
        <v>825.66539999999998</v>
      </c>
      <c r="H467" s="88">
        <v>825.66539999999998</v>
      </c>
      <c r="I467" s="63">
        <f t="shared" si="199"/>
        <v>100</v>
      </c>
    </row>
    <row r="468" spans="1:9" ht="12.75" x14ac:dyDescent="0.2">
      <c r="A468" s="2" t="s">
        <v>450</v>
      </c>
      <c r="B468" s="1" t="s">
        <v>70</v>
      </c>
      <c r="C468" s="1" t="s">
        <v>47</v>
      </c>
      <c r="D468" s="1" t="s">
        <v>6</v>
      </c>
      <c r="E468" s="1" t="s">
        <v>0</v>
      </c>
      <c r="F468" s="1"/>
      <c r="G468" s="84">
        <f t="shared" ref="G468:H468" si="214">G469</f>
        <v>435</v>
      </c>
      <c r="H468" s="84">
        <f t="shared" si="214"/>
        <v>435</v>
      </c>
      <c r="I468" s="63">
        <f t="shared" si="199"/>
        <v>100</v>
      </c>
    </row>
    <row r="469" spans="1:9" ht="12.75" x14ac:dyDescent="0.2">
      <c r="A469" s="2" t="s">
        <v>39</v>
      </c>
      <c r="B469" s="1" t="s">
        <v>70</v>
      </c>
      <c r="C469" s="1" t="s">
        <v>47</v>
      </c>
      <c r="D469" s="1" t="s">
        <v>6</v>
      </c>
      <c r="E469" s="1" t="s">
        <v>37</v>
      </c>
      <c r="F469" s="1"/>
      <c r="G469" s="84">
        <f>G470</f>
        <v>435</v>
      </c>
      <c r="H469" s="84">
        <f t="shared" ref="H469" si="215">H470</f>
        <v>435</v>
      </c>
      <c r="I469" s="63">
        <f t="shared" si="199"/>
        <v>100</v>
      </c>
    </row>
    <row r="470" spans="1:9" ht="12.75" x14ac:dyDescent="0.2">
      <c r="A470" s="5" t="s">
        <v>38</v>
      </c>
      <c r="B470" s="1" t="s">
        <v>70</v>
      </c>
      <c r="C470" s="1" t="s">
        <v>47</v>
      </c>
      <c r="D470" s="1" t="s">
        <v>6</v>
      </c>
      <c r="E470" s="1" t="s">
        <v>37</v>
      </c>
      <c r="F470" s="1" t="s">
        <v>36</v>
      </c>
      <c r="G470" s="84">
        <v>435</v>
      </c>
      <c r="H470" s="84">
        <v>435</v>
      </c>
      <c r="I470" s="63">
        <f t="shared" si="199"/>
        <v>100</v>
      </c>
    </row>
    <row r="471" spans="1:9" s="21" customFormat="1" ht="12.75" x14ac:dyDescent="0.2">
      <c r="A471" s="2" t="s">
        <v>28</v>
      </c>
      <c r="B471" s="1" t="s">
        <v>70</v>
      </c>
      <c r="C471" s="1" t="s">
        <v>24</v>
      </c>
      <c r="D471" s="1"/>
      <c r="E471" s="1"/>
      <c r="F471" s="1"/>
      <c r="G471" s="92">
        <f t="shared" ref="G471:H476" si="216">G472</f>
        <v>2355.56</v>
      </c>
      <c r="H471" s="92">
        <f t="shared" si="216"/>
        <v>2355.56</v>
      </c>
      <c r="I471" s="63">
        <f t="shared" si="199"/>
        <v>100</v>
      </c>
    </row>
    <row r="472" spans="1:9" s="21" customFormat="1" ht="12.75" x14ac:dyDescent="0.2">
      <c r="A472" s="2" t="s">
        <v>27</v>
      </c>
      <c r="B472" s="1" t="s">
        <v>70</v>
      </c>
      <c r="C472" s="1" t="s">
        <v>24</v>
      </c>
      <c r="D472" s="1" t="s">
        <v>23</v>
      </c>
      <c r="E472" s="1"/>
      <c r="F472" s="1"/>
      <c r="G472" s="92">
        <f>G474</f>
        <v>2355.56</v>
      </c>
      <c r="H472" s="92">
        <f t="shared" ref="H472" si="217">H474</f>
        <v>2355.56</v>
      </c>
      <c r="I472" s="63">
        <f t="shared" si="199"/>
        <v>100</v>
      </c>
    </row>
    <row r="473" spans="1:9" ht="36" x14ac:dyDescent="0.2">
      <c r="A473" s="2" t="s">
        <v>396</v>
      </c>
      <c r="B473" s="1" t="s">
        <v>70</v>
      </c>
      <c r="C473" s="1" t="s">
        <v>24</v>
      </c>
      <c r="D473" s="1" t="s">
        <v>23</v>
      </c>
      <c r="E473" s="1" t="s">
        <v>4</v>
      </c>
      <c r="F473" s="1"/>
      <c r="G473" s="92">
        <f>G474</f>
        <v>2355.56</v>
      </c>
      <c r="H473" s="92">
        <f t="shared" ref="H473" si="218">H474</f>
        <v>2355.56</v>
      </c>
      <c r="I473" s="63">
        <f t="shared" si="199"/>
        <v>100</v>
      </c>
    </row>
    <row r="474" spans="1:9" s="21" customFormat="1" ht="48" x14ac:dyDescent="0.2">
      <c r="A474" s="2" t="s">
        <v>374</v>
      </c>
      <c r="B474" s="1" t="s">
        <v>70</v>
      </c>
      <c r="C474" s="1" t="s">
        <v>24</v>
      </c>
      <c r="D474" s="1" t="s">
        <v>23</v>
      </c>
      <c r="E474" s="1" t="s">
        <v>375</v>
      </c>
      <c r="F474" s="1"/>
      <c r="G474" s="88">
        <f t="shared" si="216"/>
        <v>2355.56</v>
      </c>
      <c r="H474" s="88">
        <f t="shared" si="216"/>
        <v>2355.56</v>
      </c>
      <c r="I474" s="63">
        <f t="shared" si="199"/>
        <v>100</v>
      </c>
    </row>
    <row r="475" spans="1:9" s="21" customFormat="1" ht="24" x14ac:dyDescent="0.2">
      <c r="A475" s="2" t="s">
        <v>372</v>
      </c>
      <c r="B475" s="1" t="s">
        <v>70</v>
      </c>
      <c r="C475" s="1" t="s">
        <v>24</v>
      </c>
      <c r="D475" s="1" t="s">
        <v>23</v>
      </c>
      <c r="E475" s="1" t="s">
        <v>376</v>
      </c>
      <c r="F475" s="1"/>
      <c r="G475" s="88">
        <f>G476+G478</f>
        <v>2355.56</v>
      </c>
      <c r="H475" s="88">
        <f t="shared" ref="H475" si="219">H476+H478</f>
        <v>2355.56</v>
      </c>
      <c r="I475" s="63">
        <f t="shared" si="199"/>
        <v>100</v>
      </c>
    </row>
    <row r="476" spans="1:9" s="21" customFormat="1" ht="24" x14ac:dyDescent="0.2">
      <c r="A476" s="2" t="s">
        <v>373</v>
      </c>
      <c r="B476" s="1" t="s">
        <v>70</v>
      </c>
      <c r="C476" s="1" t="s">
        <v>24</v>
      </c>
      <c r="D476" s="1" t="s">
        <v>23</v>
      </c>
      <c r="E476" s="1" t="s">
        <v>377</v>
      </c>
      <c r="F476" s="1"/>
      <c r="G476" s="88">
        <f t="shared" si="216"/>
        <v>1929.32</v>
      </c>
      <c r="H476" s="88">
        <f t="shared" si="216"/>
        <v>1929.32</v>
      </c>
      <c r="I476" s="63">
        <f t="shared" si="199"/>
        <v>100</v>
      </c>
    </row>
    <row r="477" spans="1:9" s="21" customFormat="1" ht="24" x14ac:dyDescent="0.2">
      <c r="A477" s="2" t="s">
        <v>25</v>
      </c>
      <c r="B477" s="1" t="s">
        <v>70</v>
      </c>
      <c r="C477" s="1" t="s">
        <v>24</v>
      </c>
      <c r="D477" s="1" t="s">
        <v>23</v>
      </c>
      <c r="E477" s="1" t="s">
        <v>377</v>
      </c>
      <c r="F477" s="1" t="s">
        <v>22</v>
      </c>
      <c r="G477" s="88">
        <v>1929.32</v>
      </c>
      <c r="H477" s="88">
        <v>1929.32</v>
      </c>
      <c r="I477" s="63">
        <f t="shared" si="199"/>
        <v>100</v>
      </c>
    </row>
    <row r="478" spans="1:9" s="21" customFormat="1" ht="12.75" x14ac:dyDescent="0.2">
      <c r="A478" s="2" t="s">
        <v>358</v>
      </c>
      <c r="B478" s="1" t="s">
        <v>70</v>
      </c>
      <c r="C478" s="1" t="s">
        <v>24</v>
      </c>
      <c r="D478" s="1" t="s">
        <v>23</v>
      </c>
      <c r="E478" s="1" t="s">
        <v>406</v>
      </c>
      <c r="F478" s="1"/>
      <c r="G478" s="88">
        <f>G479</f>
        <v>426.24</v>
      </c>
      <c r="H478" s="88">
        <f t="shared" ref="H478" si="220">H479</f>
        <v>426.24</v>
      </c>
      <c r="I478" s="63">
        <f t="shared" si="199"/>
        <v>100</v>
      </c>
    </row>
    <row r="479" spans="1:9" s="21" customFormat="1" ht="24" x14ac:dyDescent="0.2">
      <c r="A479" s="2" t="s">
        <v>25</v>
      </c>
      <c r="B479" s="1" t="s">
        <v>70</v>
      </c>
      <c r="C479" s="1" t="s">
        <v>24</v>
      </c>
      <c r="D479" s="1" t="s">
        <v>23</v>
      </c>
      <c r="E479" s="1" t="s">
        <v>406</v>
      </c>
      <c r="F479" s="1" t="s">
        <v>22</v>
      </c>
      <c r="G479" s="88">
        <v>426.24</v>
      </c>
      <c r="H479" s="88">
        <v>426.24</v>
      </c>
      <c r="I479" s="63">
        <f t="shared" si="199"/>
        <v>100</v>
      </c>
    </row>
    <row r="480" spans="1:9" s="21" customFormat="1" ht="36" x14ac:dyDescent="0.2">
      <c r="A480" s="43" t="s">
        <v>448</v>
      </c>
      <c r="B480" s="3" t="s">
        <v>185</v>
      </c>
      <c r="C480" s="3"/>
      <c r="D480" s="3"/>
      <c r="E480" s="3"/>
      <c r="F480" s="1"/>
      <c r="G480" s="62">
        <f>G481+G505+G557+G550</f>
        <v>82089.950540000005</v>
      </c>
      <c r="H480" s="62">
        <f>H481+H505+H557+H550</f>
        <v>82089.950530000002</v>
      </c>
      <c r="I480" s="62">
        <f t="shared" si="199"/>
        <v>99.999999987818228</v>
      </c>
    </row>
    <row r="481" spans="1:9" s="21" customFormat="1" ht="12.75" x14ac:dyDescent="0.2">
      <c r="A481" s="2" t="s">
        <v>160</v>
      </c>
      <c r="B481" s="1" t="s">
        <v>185</v>
      </c>
      <c r="C481" s="1" t="s">
        <v>69</v>
      </c>
      <c r="D481" s="1"/>
      <c r="E481" s="1"/>
      <c r="F481" s="1"/>
      <c r="G481" s="63">
        <f>G498+G482</f>
        <v>21717.683910000003</v>
      </c>
      <c r="H481" s="63">
        <f>H498+H482</f>
        <v>21717.6839</v>
      </c>
      <c r="I481" s="63">
        <f t="shared" si="199"/>
        <v>99.999999953954557</v>
      </c>
    </row>
    <row r="482" spans="1:9" s="21" customFormat="1" ht="12.75" x14ac:dyDescent="0.2">
      <c r="A482" s="2" t="s">
        <v>203</v>
      </c>
      <c r="B482" s="1" t="s">
        <v>185</v>
      </c>
      <c r="C482" s="1" t="s">
        <v>69</v>
      </c>
      <c r="D482" s="1" t="s">
        <v>6</v>
      </c>
      <c r="E482" s="1"/>
      <c r="F482" s="1"/>
      <c r="G482" s="63">
        <f>G484+G495</f>
        <v>21617.683910000003</v>
      </c>
      <c r="H482" s="63">
        <f>H484+H495</f>
        <v>21617.6839</v>
      </c>
      <c r="I482" s="63">
        <f t="shared" si="199"/>
        <v>99.999999953741565</v>
      </c>
    </row>
    <row r="483" spans="1:9" ht="24" x14ac:dyDescent="0.2">
      <c r="A483" s="2" t="s">
        <v>393</v>
      </c>
      <c r="B483" s="1" t="s">
        <v>185</v>
      </c>
      <c r="C483" s="1" t="s">
        <v>69</v>
      </c>
      <c r="D483" s="1" t="s">
        <v>6</v>
      </c>
      <c r="E483" s="1" t="s">
        <v>324</v>
      </c>
      <c r="F483" s="1"/>
      <c r="G483" s="63">
        <f>G484</f>
        <v>21513.265910000002</v>
      </c>
      <c r="H483" s="63">
        <f t="shared" ref="H483" si="221">H484</f>
        <v>21513.265899999999</v>
      </c>
      <c r="I483" s="63">
        <f t="shared" si="199"/>
        <v>99.999999953517033</v>
      </c>
    </row>
    <row r="484" spans="1:9" ht="48" x14ac:dyDescent="0.2">
      <c r="A484" s="2" t="s">
        <v>261</v>
      </c>
      <c r="B484" s="1" t="s">
        <v>185</v>
      </c>
      <c r="C484" s="1" t="s">
        <v>69</v>
      </c>
      <c r="D484" s="1" t="s">
        <v>6</v>
      </c>
      <c r="E484" s="1" t="s">
        <v>309</v>
      </c>
      <c r="F484" s="1"/>
      <c r="G484" s="63">
        <f>G485+G492</f>
        <v>21513.265910000002</v>
      </c>
      <c r="H484" s="63">
        <f>H485+H492</f>
        <v>21513.265899999999</v>
      </c>
      <c r="I484" s="63">
        <f t="shared" si="199"/>
        <v>99.999999953517033</v>
      </c>
    </row>
    <row r="485" spans="1:9" ht="12.75" x14ac:dyDescent="0.2">
      <c r="A485" s="2" t="s">
        <v>74</v>
      </c>
      <c r="B485" s="1" t="s">
        <v>185</v>
      </c>
      <c r="C485" s="1" t="s">
        <v>69</v>
      </c>
      <c r="D485" s="1" t="s">
        <v>6</v>
      </c>
      <c r="E485" s="1" t="s">
        <v>310</v>
      </c>
      <c r="F485" s="1"/>
      <c r="G485" s="63">
        <f>G486+G490+G488</f>
        <v>11003.455910000001</v>
      </c>
      <c r="H485" s="63">
        <f t="shared" ref="H485" si="222">H486+H490+H488</f>
        <v>11003.455910000001</v>
      </c>
      <c r="I485" s="63">
        <f t="shared" si="199"/>
        <v>100</v>
      </c>
    </row>
    <row r="486" spans="1:9" ht="24" x14ac:dyDescent="0.2">
      <c r="A486" s="2" t="s">
        <v>296</v>
      </c>
      <c r="B486" s="1" t="s">
        <v>185</v>
      </c>
      <c r="C486" s="1" t="s">
        <v>69</v>
      </c>
      <c r="D486" s="1" t="s">
        <v>6</v>
      </c>
      <c r="E486" s="1" t="s">
        <v>320</v>
      </c>
      <c r="F486" s="1"/>
      <c r="G486" s="63">
        <f t="shared" ref="G486:H486" si="223">G487</f>
        <v>9002.2117199999993</v>
      </c>
      <c r="H486" s="63">
        <f t="shared" si="223"/>
        <v>9002.2117199999993</v>
      </c>
      <c r="I486" s="63">
        <f t="shared" si="199"/>
        <v>100</v>
      </c>
    </row>
    <row r="487" spans="1:9" ht="24" x14ac:dyDescent="0.2">
      <c r="A487" s="2" t="s">
        <v>25</v>
      </c>
      <c r="B487" s="1" t="s">
        <v>185</v>
      </c>
      <c r="C487" s="1" t="s">
        <v>69</v>
      </c>
      <c r="D487" s="1" t="s">
        <v>6</v>
      </c>
      <c r="E487" s="1" t="s">
        <v>320</v>
      </c>
      <c r="F487" s="1" t="s">
        <v>22</v>
      </c>
      <c r="G487" s="63">
        <v>9002.2117199999993</v>
      </c>
      <c r="H487" s="63">
        <f>8692.21172+310</f>
        <v>9002.2117199999993</v>
      </c>
      <c r="I487" s="63">
        <f t="shared" si="199"/>
        <v>100</v>
      </c>
    </row>
    <row r="488" spans="1:9" ht="12.75" x14ac:dyDescent="0.2">
      <c r="A488" s="2" t="s">
        <v>358</v>
      </c>
      <c r="B488" s="1" t="s">
        <v>185</v>
      </c>
      <c r="C488" s="1" t="s">
        <v>69</v>
      </c>
      <c r="D488" s="1" t="s">
        <v>6</v>
      </c>
      <c r="E488" s="1" t="s">
        <v>523</v>
      </c>
      <c r="F488" s="1"/>
      <c r="G488" s="63">
        <f t="shared" ref="G488:H488" si="224">G489</f>
        <v>769.61419000000001</v>
      </c>
      <c r="H488" s="63">
        <f t="shared" si="224"/>
        <v>769.61419000000001</v>
      </c>
      <c r="I488" s="63">
        <f t="shared" si="199"/>
        <v>100</v>
      </c>
    </row>
    <row r="489" spans="1:9" ht="24" x14ac:dyDescent="0.2">
      <c r="A489" s="2" t="s">
        <v>25</v>
      </c>
      <c r="B489" s="1" t="s">
        <v>185</v>
      </c>
      <c r="C489" s="1" t="s">
        <v>69</v>
      </c>
      <c r="D489" s="1" t="s">
        <v>6</v>
      </c>
      <c r="E489" s="1" t="s">
        <v>523</v>
      </c>
      <c r="F489" s="1" t="s">
        <v>22</v>
      </c>
      <c r="G489" s="63">
        <v>769.61419000000001</v>
      </c>
      <c r="H489" s="63">
        <v>769.61419000000001</v>
      </c>
      <c r="I489" s="63">
        <f t="shared" si="199"/>
        <v>100</v>
      </c>
    </row>
    <row r="490" spans="1:9" ht="12.75" x14ac:dyDescent="0.2">
      <c r="A490" s="2" t="s">
        <v>358</v>
      </c>
      <c r="B490" s="1" t="s">
        <v>185</v>
      </c>
      <c r="C490" s="1" t="s">
        <v>69</v>
      </c>
      <c r="D490" s="1" t="s">
        <v>6</v>
      </c>
      <c r="E490" s="1" t="s">
        <v>360</v>
      </c>
      <c r="F490" s="1"/>
      <c r="G490" s="63">
        <f t="shared" ref="G490:H490" si="225">G491</f>
        <v>1231.6300000000001</v>
      </c>
      <c r="H490" s="63">
        <f t="shared" si="225"/>
        <v>1231.6300000000001</v>
      </c>
      <c r="I490" s="63">
        <f t="shared" ref="I490:I553" si="226">H490/G490*100</f>
        <v>100</v>
      </c>
    </row>
    <row r="491" spans="1:9" ht="24" x14ac:dyDescent="0.2">
      <c r="A491" s="2" t="s">
        <v>25</v>
      </c>
      <c r="B491" s="1" t="s">
        <v>185</v>
      </c>
      <c r="C491" s="1" t="s">
        <v>69</v>
      </c>
      <c r="D491" s="1" t="s">
        <v>6</v>
      </c>
      <c r="E491" s="1" t="s">
        <v>360</v>
      </c>
      <c r="F491" s="1" t="s">
        <v>22</v>
      </c>
      <c r="G491" s="63">
        <v>1231.6300000000001</v>
      </c>
      <c r="H491" s="63">
        <v>1231.6300000000001</v>
      </c>
      <c r="I491" s="63">
        <f t="shared" si="226"/>
        <v>100</v>
      </c>
    </row>
    <row r="492" spans="1:9" ht="24" x14ac:dyDescent="0.2">
      <c r="A492" s="2" t="s">
        <v>477</v>
      </c>
      <c r="B492" s="1" t="s">
        <v>185</v>
      </c>
      <c r="C492" s="1" t="s">
        <v>69</v>
      </c>
      <c r="D492" s="1" t="s">
        <v>6</v>
      </c>
      <c r="E492" s="1" t="s">
        <v>478</v>
      </c>
      <c r="F492" s="1"/>
      <c r="G492" s="63">
        <f>G493</f>
        <v>10509.81</v>
      </c>
      <c r="H492" s="63">
        <f t="shared" ref="H492:H493" si="227">H493</f>
        <v>10509.80999</v>
      </c>
      <c r="I492" s="63">
        <f t="shared" si="226"/>
        <v>99.999999904850796</v>
      </c>
    </row>
    <row r="493" spans="1:9" ht="36" x14ac:dyDescent="0.2">
      <c r="A493" s="2" t="s">
        <v>479</v>
      </c>
      <c r="B493" s="1" t="s">
        <v>185</v>
      </c>
      <c r="C493" s="1" t="s">
        <v>69</v>
      </c>
      <c r="D493" s="1" t="s">
        <v>6</v>
      </c>
      <c r="E493" s="1" t="s">
        <v>480</v>
      </c>
      <c r="F493" s="1"/>
      <c r="G493" s="63">
        <f>G494</f>
        <v>10509.81</v>
      </c>
      <c r="H493" s="63">
        <f t="shared" si="227"/>
        <v>10509.80999</v>
      </c>
      <c r="I493" s="63">
        <f t="shared" si="226"/>
        <v>99.999999904850796</v>
      </c>
    </row>
    <row r="494" spans="1:9" ht="24" x14ac:dyDescent="0.2">
      <c r="A494" s="2" t="s">
        <v>25</v>
      </c>
      <c r="B494" s="1" t="s">
        <v>185</v>
      </c>
      <c r="C494" s="1" t="s">
        <v>69</v>
      </c>
      <c r="D494" s="1" t="s">
        <v>6</v>
      </c>
      <c r="E494" s="1" t="s">
        <v>480</v>
      </c>
      <c r="F494" s="1" t="s">
        <v>22</v>
      </c>
      <c r="G494" s="63">
        <v>10509.81</v>
      </c>
      <c r="H494" s="63">
        <v>10509.80999</v>
      </c>
      <c r="I494" s="63">
        <f t="shared" si="226"/>
        <v>99.999999904850796</v>
      </c>
    </row>
    <row r="495" spans="1:9" ht="12.75" x14ac:dyDescent="0.2">
      <c r="A495" s="2" t="s">
        <v>450</v>
      </c>
      <c r="B495" s="1" t="s">
        <v>70</v>
      </c>
      <c r="C495" s="1" t="s">
        <v>69</v>
      </c>
      <c r="D495" s="1" t="s">
        <v>6</v>
      </c>
      <c r="E495" s="1" t="s">
        <v>0</v>
      </c>
      <c r="F495" s="1"/>
      <c r="G495" s="84">
        <f t="shared" ref="G495:H496" si="228">G496</f>
        <v>104.41800000000001</v>
      </c>
      <c r="H495" s="84">
        <f t="shared" si="228"/>
        <v>104.41800000000001</v>
      </c>
      <c r="I495" s="63">
        <f t="shared" si="226"/>
        <v>100</v>
      </c>
    </row>
    <row r="496" spans="1:9" ht="12.75" x14ac:dyDescent="0.2">
      <c r="A496" s="2" t="s">
        <v>39</v>
      </c>
      <c r="B496" s="1" t="s">
        <v>70</v>
      </c>
      <c r="C496" s="1" t="s">
        <v>69</v>
      </c>
      <c r="D496" s="1" t="s">
        <v>6</v>
      </c>
      <c r="E496" s="1" t="s">
        <v>37</v>
      </c>
      <c r="F496" s="1"/>
      <c r="G496" s="84">
        <f>G497</f>
        <v>104.41800000000001</v>
      </c>
      <c r="H496" s="84">
        <f t="shared" si="228"/>
        <v>104.41800000000001</v>
      </c>
      <c r="I496" s="63">
        <f t="shared" si="226"/>
        <v>100</v>
      </c>
    </row>
    <row r="497" spans="1:9" ht="24" x14ac:dyDescent="0.2">
      <c r="A497" s="2" t="s">
        <v>25</v>
      </c>
      <c r="B497" s="1" t="s">
        <v>185</v>
      </c>
      <c r="C497" s="1" t="s">
        <v>69</v>
      </c>
      <c r="D497" s="1" t="s">
        <v>6</v>
      </c>
      <c r="E497" s="1" t="s">
        <v>37</v>
      </c>
      <c r="F497" s="1" t="s">
        <v>22</v>
      </c>
      <c r="G497" s="63">
        <v>104.41800000000001</v>
      </c>
      <c r="H497" s="63">
        <v>104.41800000000001</v>
      </c>
      <c r="I497" s="63">
        <f t="shared" si="226"/>
        <v>100</v>
      </c>
    </row>
    <row r="498" spans="1:9" s="21" customFormat="1" ht="12.75" x14ac:dyDescent="0.2">
      <c r="A498" s="2" t="s">
        <v>73</v>
      </c>
      <c r="B498" s="1" t="s">
        <v>185</v>
      </c>
      <c r="C498" s="1" t="s">
        <v>69</v>
      </c>
      <c r="D498" s="1" t="s">
        <v>69</v>
      </c>
      <c r="E498" s="1"/>
      <c r="F498" s="1"/>
      <c r="G498" s="63">
        <f t="shared" ref="G498:H498" si="229">G500</f>
        <v>100</v>
      </c>
      <c r="H498" s="63">
        <f t="shared" si="229"/>
        <v>100</v>
      </c>
      <c r="I498" s="63">
        <f t="shared" si="226"/>
        <v>100</v>
      </c>
    </row>
    <row r="499" spans="1:9" ht="24" x14ac:dyDescent="0.2">
      <c r="A499" s="2" t="s">
        <v>394</v>
      </c>
      <c r="B499" s="1" t="s">
        <v>185</v>
      </c>
      <c r="C499" s="1" t="s">
        <v>69</v>
      </c>
      <c r="D499" s="1" t="s">
        <v>69</v>
      </c>
      <c r="E499" s="1" t="s">
        <v>3</v>
      </c>
      <c r="F499" s="1"/>
      <c r="G499" s="63">
        <f>G500</f>
        <v>100</v>
      </c>
      <c r="H499" s="63">
        <f t="shared" ref="H499:H500" si="230">H500</f>
        <v>100</v>
      </c>
      <c r="I499" s="63">
        <f t="shared" si="226"/>
        <v>100</v>
      </c>
    </row>
    <row r="500" spans="1:9" s="21" customFormat="1" ht="36" x14ac:dyDescent="0.2">
      <c r="A500" s="2" t="s">
        <v>297</v>
      </c>
      <c r="B500" s="1" t="s">
        <v>185</v>
      </c>
      <c r="C500" s="1" t="s">
        <v>69</v>
      </c>
      <c r="D500" s="1" t="s">
        <v>69</v>
      </c>
      <c r="E500" s="1" t="s">
        <v>325</v>
      </c>
      <c r="F500" s="1"/>
      <c r="G500" s="85">
        <f>G501</f>
        <v>100</v>
      </c>
      <c r="H500" s="85">
        <f t="shared" si="230"/>
        <v>100</v>
      </c>
      <c r="I500" s="63">
        <f t="shared" si="226"/>
        <v>100</v>
      </c>
    </row>
    <row r="501" spans="1:9" s="21" customFormat="1" ht="12.75" x14ac:dyDescent="0.2">
      <c r="A501" s="2" t="s">
        <v>298</v>
      </c>
      <c r="B501" s="1" t="s">
        <v>185</v>
      </c>
      <c r="C501" s="1" t="s">
        <v>69</v>
      </c>
      <c r="D501" s="1" t="s">
        <v>69</v>
      </c>
      <c r="E501" s="1" t="s">
        <v>326</v>
      </c>
      <c r="F501" s="1"/>
      <c r="G501" s="85">
        <f t="shared" ref="G501:H501" si="231">G502</f>
        <v>100</v>
      </c>
      <c r="H501" s="85">
        <f t="shared" si="231"/>
        <v>100</v>
      </c>
      <c r="I501" s="63">
        <f t="shared" si="226"/>
        <v>100</v>
      </c>
    </row>
    <row r="502" spans="1:9" s="21" customFormat="1" ht="24" x14ac:dyDescent="0.2">
      <c r="A502" s="2" t="s">
        <v>239</v>
      </c>
      <c r="B502" s="1" t="s">
        <v>185</v>
      </c>
      <c r="C502" s="1" t="s">
        <v>69</v>
      </c>
      <c r="D502" s="1" t="s">
        <v>69</v>
      </c>
      <c r="E502" s="1" t="s">
        <v>327</v>
      </c>
      <c r="F502" s="1"/>
      <c r="G502" s="85">
        <f t="shared" ref="G502:H502" si="232">G504+G503</f>
        <v>100</v>
      </c>
      <c r="H502" s="85">
        <f t="shared" si="232"/>
        <v>100</v>
      </c>
      <c r="I502" s="63">
        <f t="shared" si="226"/>
        <v>100</v>
      </c>
    </row>
    <row r="503" spans="1:9" s="21" customFormat="1" ht="48" x14ac:dyDescent="0.2">
      <c r="A503" s="2" t="s">
        <v>32</v>
      </c>
      <c r="B503" s="1" t="s">
        <v>185</v>
      </c>
      <c r="C503" s="1" t="s">
        <v>69</v>
      </c>
      <c r="D503" s="1" t="s">
        <v>69</v>
      </c>
      <c r="E503" s="1" t="s">
        <v>327</v>
      </c>
      <c r="F503" s="1" t="s">
        <v>29</v>
      </c>
      <c r="G503" s="85">
        <v>5</v>
      </c>
      <c r="H503" s="85">
        <v>5</v>
      </c>
      <c r="I503" s="63">
        <f t="shared" si="226"/>
        <v>100</v>
      </c>
    </row>
    <row r="504" spans="1:9" s="21" customFormat="1" ht="24" x14ac:dyDescent="0.2">
      <c r="A504" s="2" t="s">
        <v>40</v>
      </c>
      <c r="B504" s="1" t="s">
        <v>185</v>
      </c>
      <c r="C504" s="1" t="s">
        <v>69</v>
      </c>
      <c r="D504" s="1" t="s">
        <v>69</v>
      </c>
      <c r="E504" s="1" t="s">
        <v>327</v>
      </c>
      <c r="F504" s="1" t="s">
        <v>44</v>
      </c>
      <c r="G504" s="85">
        <v>95</v>
      </c>
      <c r="H504" s="85">
        <v>95</v>
      </c>
      <c r="I504" s="63">
        <f t="shared" si="226"/>
        <v>100</v>
      </c>
    </row>
    <row r="505" spans="1:9" s="21" customFormat="1" ht="12.75" x14ac:dyDescent="0.2">
      <c r="A505" s="2" t="s">
        <v>68</v>
      </c>
      <c r="B505" s="1" t="s">
        <v>185</v>
      </c>
      <c r="C505" s="1" t="s">
        <v>63</v>
      </c>
      <c r="D505" s="1"/>
      <c r="E505" s="1"/>
      <c r="F505" s="1"/>
      <c r="G505" s="63">
        <f>G506+G528</f>
        <v>58672.42136</v>
      </c>
      <c r="H505" s="63">
        <f>H506+H528</f>
        <v>58672.42136</v>
      </c>
      <c r="I505" s="63">
        <f t="shared" si="226"/>
        <v>100</v>
      </c>
    </row>
    <row r="506" spans="1:9" s="21" customFormat="1" ht="12.75" x14ac:dyDescent="0.2">
      <c r="A506" s="2" t="s">
        <v>67</v>
      </c>
      <c r="B506" s="1" t="s">
        <v>185</v>
      </c>
      <c r="C506" s="1" t="s">
        <v>63</v>
      </c>
      <c r="D506" s="1" t="s">
        <v>12</v>
      </c>
      <c r="E506" s="1"/>
      <c r="F506" s="1"/>
      <c r="G506" s="63">
        <f>G508</f>
        <v>47479.65266</v>
      </c>
      <c r="H506" s="63">
        <f t="shared" ref="H506" si="233">H508</f>
        <v>47479.65266</v>
      </c>
      <c r="I506" s="63">
        <f t="shared" si="226"/>
        <v>100</v>
      </c>
    </row>
    <row r="507" spans="1:9" ht="24" x14ac:dyDescent="0.2">
      <c r="A507" s="2" t="s">
        <v>394</v>
      </c>
      <c r="B507" s="1" t="s">
        <v>185</v>
      </c>
      <c r="C507" s="1" t="s">
        <v>63</v>
      </c>
      <c r="D507" s="1" t="s">
        <v>12</v>
      </c>
      <c r="E507" s="1" t="s">
        <v>3</v>
      </c>
      <c r="F507" s="1"/>
      <c r="G507" s="63">
        <f>G508</f>
        <v>47479.65266</v>
      </c>
      <c r="H507" s="63">
        <f t="shared" ref="H507" si="234">H508</f>
        <v>47479.65266</v>
      </c>
      <c r="I507" s="63">
        <f t="shared" si="226"/>
        <v>100</v>
      </c>
    </row>
    <row r="508" spans="1:9" s="21" customFormat="1" ht="36" x14ac:dyDescent="0.2">
      <c r="A508" s="2" t="s">
        <v>272</v>
      </c>
      <c r="B508" s="1" t="s">
        <v>185</v>
      </c>
      <c r="C508" s="1" t="s">
        <v>63</v>
      </c>
      <c r="D508" s="1" t="s">
        <v>12</v>
      </c>
      <c r="E508" s="1" t="s">
        <v>34</v>
      </c>
      <c r="F508" s="1"/>
      <c r="G508" s="85">
        <f>G509+G518+G525</f>
        <v>47479.65266</v>
      </c>
      <c r="H508" s="85">
        <f>H509+H518+H525</f>
        <v>47479.65266</v>
      </c>
      <c r="I508" s="63">
        <f t="shared" si="226"/>
        <v>100</v>
      </c>
    </row>
    <row r="509" spans="1:9" s="21" customFormat="1" ht="24" customHeight="1" x14ac:dyDescent="0.2">
      <c r="A509" s="2" t="s">
        <v>433</v>
      </c>
      <c r="B509" s="1" t="s">
        <v>185</v>
      </c>
      <c r="C509" s="1" t="s">
        <v>63</v>
      </c>
      <c r="D509" s="1" t="s">
        <v>12</v>
      </c>
      <c r="E509" s="1" t="s">
        <v>238</v>
      </c>
      <c r="F509" s="1"/>
      <c r="G509" s="85">
        <f>G510+G512+G516+G514</f>
        <v>29864.743279999999</v>
      </c>
      <c r="H509" s="85">
        <f t="shared" ref="H509" si="235">H510+H512+H516+H514</f>
        <v>29864.743279999999</v>
      </c>
      <c r="I509" s="63">
        <f t="shared" si="226"/>
        <v>100</v>
      </c>
    </row>
    <row r="510" spans="1:9" s="21" customFormat="1" ht="12.75" x14ac:dyDescent="0.2">
      <c r="A510" s="2" t="s">
        <v>434</v>
      </c>
      <c r="B510" s="1" t="s">
        <v>185</v>
      </c>
      <c r="C510" s="1" t="s">
        <v>63</v>
      </c>
      <c r="D510" s="1" t="s">
        <v>12</v>
      </c>
      <c r="E510" s="1" t="s">
        <v>33</v>
      </c>
      <c r="F510" s="1"/>
      <c r="G510" s="85">
        <f>G511</f>
        <v>23410.000919999999</v>
      </c>
      <c r="H510" s="85">
        <f>H511</f>
        <v>23410.000919999999</v>
      </c>
      <c r="I510" s="63">
        <f t="shared" si="226"/>
        <v>100</v>
      </c>
    </row>
    <row r="511" spans="1:9" s="21" customFormat="1" ht="24" x14ac:dyDescent="0.2">
      <c r="A511" s="2" t="s">
        <v>25</v>
      </c>
      <c r="B511" s="1" t="s">
        <v>185</v>
      </c>
      <c r="C511" s="1" t="s">
        <v>63</v>
      </c>
      <c r="D511" s="1" t="s">
        <v>12</v>
      </c>
      <c r="E511" s="1" t="s">
        <v>33</v>
      </c>
      <c r="F511" s="1" t="s">
        <v>22</v>
      </c>
      <c r="G511" s="85">
        <v>23410.000919999999</v>
      </c>
      <c r="H511" s="85">
        <f>23152.00092+258</f>
        <v>23410.000919999999</v>
      </c>
      <c r="I511" s="63">
        <f t="shared" si="226"/>
        <v>100</v>
      </c>
    </row>
    <row r="512" spans="1:9" s="21" customFormat="1" ht="36" x14ac:dyDescent="0.2">
      <c r="A512" s="2" t="s">
        <v>336</v>
      </c>
      <c r="B512" s="1" t="s">
        <v>185</v>
      </c>
      <c r="C512" s="1" t="s">
        <v>63</v>
      </c>
      <c r="D512" s="1" t="s">
        <v>12</v>
      </c>
      <c r="E512" s="1" t="s">
        <v>337</v>
      </c>
      <c r="F512" s="1"/>
      <c r="G512" s="63">
        <f>G513</f>
        <v>1290.7770499999999</v>
      </c>
      <c r="H512" s="63">
        <f>H513</f>
        <v>1290.7770499999999</v>
      </c>
      <c r="I512" s="63">
        <f t="shared" si="226"/>
        <v>100</v>
      </c>
    </row>
    <row r="513" spans="1:9" s="21" customFormat="1" ht="24" x14ac:dyDescent="0.2">
      <c r="A513" s="2" t="s">
        <v>25</v>
      </c>
      <c r="B513" s="1" t="s">
        <v>185</v>
      </c>
      <c r="C513" s="1" t="s">
        <v>63</v>
      </c>
      <c r="D513" s="1" t="s">
        <v>12</v>
      </c>
      <c r="E513" s="1" t="s">
        <v>337</v>
      </c>
      <c r="F513" s="1" t="s">
        <v>22</v>
      </c>
      <c r="G513" s="63">
        <v>1290.7770499999999</v>
      </c>
      <c r="H513" s="83">
        <v>1290.7770499999999</v>
      </c>
      <c r="I513" s="63">
        <f t="shared" si="226"/>
        <v>100</v>
      </c>
    </row>
    <row r="514" spans="1:9" s="21" customFormat="1" ht="24" x14ac:dyDescent="0.2">
      <c r="A514" s="5" t="s">
        <v>470</v>
      </c>
      <c r="B514" s="1" t="s">
        <v>185</v>
      </c>
      <c r="C514" s="1" t="s">
        <v>63</v>
      </c>
      <c r="D514" s="1" t="s">
        <v>12</v>
      </c>
      <c r="E514" s="1" t="s">
        <v>471</v>
      </c>
      <c r="F514" s="1"/>
      <c r="G514" s="63">
        <f>G515</f>
        <v>4630.0953099999997</v>
      </c>
      <c r="H514" s="63">
        <f t="shared" ref="H514" si="236">H515</f>
        <v>4630.0953099999997</v>
      </c>
      <c r="I514" s="63">
        <f t="shared" si="226"/>
        <v>100</v>
      </c>
    </row>
    <row r="515" spans="1:9" s="21" customFormat="1" ht="24" x14ac:dyDescent="0.2">
      <c r="A515" s="2" t="s">
        <v>25</v>
      </c>
      <c r="B515" s="1" t="s">
        <v>185</v>
      </c>
      <c r="C515" s="1" t="s">
        <v>63</v>
      </c>
      <c r="D515" s="1" t="s">
        <v>12</v>
      </c>
      <c r="E515" s="1" t="s">
        <v>471</v>
      </c>
      <c r="F515" s="1" t="s">
        <v>22</v>
      </c>
      <c r="G515" s="85">
        <v>4630.0953099999997</v>
      </c>
      <c r="H515" s="85">
        <v>4630.0953099999997</v>
      </c>
      <c r="I515" s="63">
        <f t="shared" si="226"/>
        <v>100</v>
      </c>
    </row>
    <row r="516" spans="1:9" s="21" customFormat="1" ht="12.75" x14ac:dyDescent="0.2">
      <c r="A516" s="2" t="s">
        <v>358</v>
      </c>
      <c r="B516" s="1" t="s">
        <v>185</v>
      </c>
      <c r="C516" s="1" t="s">
        <v>63</v>
      </c>
      <c r="D516" s="1" t="s">
        <v>12</v>
      </c>
      <c r="E516" s="1" t="s">
        <v>370</v>
      </c>
      <c r="F516" s="1"/>
      <c r="G516" s="63">
        <f>G517</f>
        <v>533.87</v>
      </c>
      <c r="H516" s="63">
        <f t="shared" ref="H516" si="237">H517</f>
        <v>533.87</v>
      </c>
      <c r="I516" s="63">
        <f t="shared" si="226"/>
        <v>100</v>
      </c>
    </row>
    <row r="517" spans="1:9" s="21" customFormat="1" ht="24" x14ac:dyDescent="0.2">
      <c r="A517" s="2" t="s">
        <v>25</v>
      </c>
      <c r="B517" s="1" t="s">
        <v>185</v>
      </c>
      <c r="C517" s="1" t="s">
        <v>63</v>
      </c>
      <c r="D517" s="1" t="s">
        <v>12</v>
      </c>
      <c r="E517" s="1" t="s">
        <v>370</v>
      </c>
      <c r="F517" s="1" t="s">
        <v>22</v>
      </c>
      <c r="G517" s="63">
        <v>533.87</v>
      </c>
      <c r="H517" s="83">
        <v>533.87</v>
      </c>
      <c r="I517" s="63">
        <f t="shared" si="226"/>
        <v>100</v>
      </c>
    </row>
    <row r="518" spans="1:9" s="21" customFormat="1" ht="24" x14ac:dyDescent="0.2">
      <c r="A518" s="2" t="s">
        <v>202</v>
      </c>
      <c r="B518" s="1" t="s">
        <v>185</v>
      </c>
      <c r="C518" s="1" t="s">
        <v>63</v>
      </c>
      <c r="D518" s="1" t="s">
        <v>12</v>
      </c>
      <c r="E518" s="1" t="s">
        <v>240</v>
      </c>
      <c r="F518" s="1"/>
      <c r="G518" s="85">
        <f>G519+G523+G521</f>
        <v>17511.83785</v>
      </c>
      <c r="H518" s="85">
        <f t="shared" ref="H518" si="238">H519+H523+H521</f>
        <v>17511.83785</v>
      </c>
      <c r="I518" s="63">
        <f t="shared" si="226"/>
        <v>100</v>
      </c>
    </row>
    <row r="519" spans="1:9" s="21" customFormat="1" ht="12.75" x14ac:dyDescent="0.2">
      <c r="A519" s="2" t="s">
        <v>435</v>
      </c>
      <c r="B519" s="1" t="s">
        <v>185</v>
      </c>
      <c r="C519" s="1" t="s">
        <v>63</v>
      </c>
      <c r="D519" s="1" t="s">
        <v>12</v>
      </c>
      <c r="E519" s="1" t="s">
        <v>241</v>
      </c>
      <c r="F519" s="1"/>
      <c r="G519" s="85">
        <f t="shared" ref="G519:H519" si="239">G520</f>
        <v>15532.56594</v>
      </c>
      <c r="H519" s="85">
        <f t="shared" si="239"/>
        <v>15532.56594</v>
      </c>
      <c r="I519" s="63">
        <f t="shared" si="226"/>
        <v>100</v>
      </c>
    </row>
    <row r="520" spans="1:9" s="21" customFormat="1" ht="24" x14ac:dyDescent="0.2">
      <c r="A520" s="2" t="s">
        <v>25</v>
      </c>
      <c r="B520" s="1" t="s">
        <v>185</v>
      </c>
      <c r="C520" s="1" t="s">
        <v>63</v>
      </c>
      <c r="D520" s="1" t="s">
        <v>12</v>
      </c>
      <c r="E520" s="1" t="s">
        <v>241</v>
      </c>
      <c r="F520" s="1" t="s">
        <v>22</v>
      </c>
      <c r="G520" s="85">
        <v>15532.56594</v>
      </c>
      <c r="H520" s="85">
        <f>13483.38194+2049.184</f>
        <v>15532.56594</v>
      </c>
      <c r="I520" s="63">
        <f t="shared" si="226"/>
        <v>100</v>
      </c>
    </row>
    <row r="521" spans="1:9" s="21" customFormat="1" ht="24" x14ac:dyDescent="0.2">
      <c r="A521" s="5" t="s">
        <v>470</v>
      </c>
      <c r="B521" s="1" t="s">
        <v>185</v>
      </c>
      <c r="C521" s="1" t="s">
        <v>63</v>
      </c>
      <c r="D521" s="1" t="s">
        <v>12</v>
      </c>
      <c r="E521" s="1" t="s">
        <v>472</v>
      </c>
      <c r="F521" s="1"/>
      <c r="G521" s="85">
        <f>G522</f>
        <v>1872.0904</v>
      </c>
      <c r="H521" s="85">
        <f t="shared" ref="H521" si="240">H522</f>
        <v>1872.0904</v>
      </c>
      <c r="I521" s="63">
        <f t="shared" si="226"/>
        <v>100</v>
      </c>
    </row>
    <row r="522" spans="1:9" s="21" customFormat="1" ht="24" x14ac:dyDescent="0.2">
      <c r="A522" s="2" t="s">
        <v>25</v>
      </c>
      <c r="B522" s="1" t="s">
        <v>185</v>
      </c>
      <c r="C522" s="1" t="s">
        <v>63</v>
      </c>
      <c r="D522" s="1" t="s">
        <v>12</v>
      </c>
      <c r="E522" s="1" t="s">
        <v>472</v>
      </c>
      <c r="F522" s="1" t="s">
        <v>22</v>
      </c>
      <c r="G522" s="85">
        <v>1872.0904</v>
      </c>
      <c r="H522" s="85">
        <v>1872.0904</v>
      </c>
      <c r="I522" s="63">
        <f t="shared" si="226"/>
        <v>100</v>
      </c>
    </row>
    <row r="523" spans="1:9" s="21" customFormat="1" ht="38.25" customHeight="1" x14ac:dyDescent="0.2">
      <c r="A523" s="5" t="s">
        <v>542</v>
      </c>
      <c r="B523" s="1" t="s">
        <v>185</v>
      </c>
      <c r="C523" s="1" t="s">
        <v>63</v>
      </c>
      <c r="D523" s="1" t="s">
        <v>12</v>
      </c>
      <c r="E523" s="1" t="s">
        <v>541</v>
      </c>
      <c r="F523" s="1"/>
      <c r="G523" s="63">
        <f>G524</f>
        <v>107.18151</v>
      </c>
      <c r="H523" s="63">
        <f t="shared" ref="H523" si="241">H524</f>
        <v>107.18151</v>
      </c>
      <c r="I523" s="63">
        <f t="shared" si="226"/>
        <v>100</v>
      </c>
    </row>
    <row r="524" spans="1:9" s="21" customFormat="1" ht="24.75" customHeight="1" x14ac:dyDescent="0.2">
      <c r="A524" s="5" t="s">
        <v>25</v>
      </c>
      <c r="B524" s="1" t="s">
        <v>185</v>
      </c>
      <c r="C524" s="1" t="s">
        <v>63</v>
      </c>
      <c r="D524" s="1" t="s">
        <v>12</v>
      </c>
      <c r="E524" s="1" t="s">
        <v>541</v>
      </c>
      <c r="F524" s="1" t="s">
        <v>22</v>
      </c>
      <c r="G524" s="63">
        <v>107.18151</v>
      </c>
      <c r="H524" s="83">
        <v>107.18151</v>
      </c>
      <c r="I524" s="63">
        <f t="shared" si="226"/>
        <v>100</v>
      </c>
    </row>
    <row r="525" spans="1:9" s="21" customFormat="1" ht="24.75" customHeight="1" x14ac:dyDescent="0.2">
      <c r="A525" s="5" t="s">
        <v>518</v>
      </c>
      <c r="B525" s="1" t="s">
        <v>185</v>
      </c>
      <c r="C525" s="1" t="s">
        <v>63</v>
      </c>
      <c r="D525" s="1" t="s">
        <v>12</v>
      </c>
      <c r="E525" s="1" t="s">
        <v>519</v>
      </c>
      <c r="F525" s="1"/>
      <c r="G525" s="63">
        <f>G526</f>
        <v>103.07153</v>
      </c>
      <c r="H525" s="63">
        <f t="shared" ref="H525" si="242">H526</f>
        <v>103.07153</v>
      </c>
      <c r="I525" s="63">
        <f t="shared" si="226"/>
        <v>100</v>
      </c>
    </row>
    <row r="526" spans="1:9" s="21" customFormat="1" ht="24" x14ac:dyDescent="0.2">
      <c r="A526" s="2" t="s">
        <v>481</v>
      </c>
      <c r="B526" s="1" t="s">
        <v>185</v>
      </c>
      <c r="C526" s="1" t="s">
        <v>63</v>
      </c>
      <c r="D526" s="1" t="s">
        <v>12</v>
      </c>
      <c r="E526" s="1" t="s">
        <v>517</v>
      </c>
      <c r="F526" s="1"/>
      <c r="G526" s="63">
        <f>G527</f>
        <v>103.07153</v>
      </c>
      <c r="H526" s="63">
        <f t="shared" ref="H526" si="243">H527</f>
        <v>103.07153</v>
      </c>
      <c r="I526" s="63">
        <f t="shared" si="226"/>
        <v>100</v>
      </c>
    </row>
    <row r="527" spans="1:9" s="21" customFormat="1" ht="24" x14ac:dyDescent="0.2">
      <c r="A527" s="2" t="s">
        <v>25</v>
      </c>
      <c r="B527" s="1" t="s">
        <v>185</v>
      </c>
      <c r="C527" s="1" t="s">
        <v>63</v>
      </c>
      <c r="D527" s="1" t="s">
        <v>12</v>
      </c>
      <c r="E527" s="1" t="s">
        <v>517</v>
      </c>
      <c r="F527" s="1" t="s">
        <v>22</v>
      </c>
      <c r="G527" s="63">
        <v>103.07153</v>
      </c>
      <c r="H527" s="83">
        <v>103.07153</v>
      </c>
      <c r="I527" s="63">
        <f t="shared" si="226"/>
        <v>100</v>
      </c>
    </row>
    <row r="528" spans="1:9" s="21" customFormat="1" ht="16.5" customHeight="1" x14ac:dyDescent="0.2">
      <c r="A528" s="2" t="s">
        <v>66</v>
      </c>
      <c r="B528" s="1" t="s">
        <v>185</v>
      </c>
      <c r="C528" s="1" t="s">
        <v>63</v>
      </c>
      <c r="D528" s="1" t="s">
        <v>52</v>
      </c>
      <c r="E528" s="1"/>
      <c r="F528" s="1"/>
      <c r="G528" s="63">
        <f>G529+G547</f>
        <v>11192.768700000001</v>
      </c>
      <c r="H528" s="63">
        <f>H529+H547</f>
        <v>11192.768700000001</v>
      </c>
      <c r="I528" s="63">
        <f t="shared" si="226"/>
        <v>100</v>
      </c>
    </row>
    <row r="529" spans="1:9" ht="24" x14ac:dyDescent="0.2">
      <c r="A529" s="2" t="s">
        <v>394</v>
      </c>
      <c r="B529" s="1" t="s">
        <v>185</v>
      </c>
      <c r="C529" s="1" t="s">
        <v>63</v>
      </c>
      <c r="D529" s="1" t="s">
        <v>52</v>
      </c>
      <c r="E529" s="1" t="s">
        <v>3</v>
      </c>
      <c r="F529" s="1"/>
      <c r="G529" s="63">
        <f>G536+G530</f>
        <v>11122.600050000001</v>
      </c>
      <c r="H529" s="63">
        <f t="shared" ref="H529" si="244">H536+H530</f>
        <v>11122.600050000001</v>
      </c>
      <c r="I529" s="63">
        <f t="shared" si="226"/>
        <v>100</v>
      </c>
    </row>
    <row r="530" spans="1:9" s="21" customFormat="1" ht="61.5" customHeight="1" x14ac:dyDescent="0.2">
      <c r="A530" s="5" t="s">
        <v>436</v>
      </c>
      <c r="B530" s="1" t="s">
        <v>185</v>
      </c>
      <c r="C530" s="1" t="s">
        <v>63</v>
      </c>
      <c r="D530" s="1" t="s">
        <v>52</v>
      </c>
      <c r="E530" s="1" t="s">
        <v>505</v>
      </c>
      <c r="F530" s="1"/>
      <c r="G530" s="63">
        <f>G531+G534</f>
        <v>1769.52</v>
      </c>
      <c r="H530" s="63">
        <f t="shared" ref="H530" si="245">H531+H534</f>
        <v>1769.52</v>
      </c>
      <c r="I530" s="63">
        <f t="shared" si="226"/>
        <v>100</v>
      </c>
    </row>
    <row r="531" spans="1:9" s="21" customFormat="1" ht="24" x14ac:dyDescent="0.2">
      <c r="A531" s="5" t="s">
        <v>242</v>
      </c>
      <c r="B531" s="1" t="s">
        <v>185</v>
      </c>
      <c r="C531" s="1" t="s">
        <v>63</v>
      </c>
      <c r="D531" s="1" t="s">
        <v>52</v>
      </c>
      <c r="E531" s="1" t="s">
        <v>506</v>
      </c>
      <c r="F531" s="1"/>
      <c r="G531" s="63">
        <f t="shared" ref="G531:H532" si="246">G532</f>
        <v>1587.76</v>
      </c>
      <c r="H531" s="63">
        <f t="shared" si="246"/>
        <v>1587.76</v>
      </c>
      <c r="I531" s="63">
        <f t="shared" si="226"/>
        <v>100</v>
      </c>
    </row>
    <row r="532" spans="1:9" s="21" customFormat="1" ht="24" x14ac:dyDescent="0.2">
      <c r="A532" s="2" t="s">
        <v>65</v>
      </c>
      <c r="B532" s="1" t="s">
        <v>185</v>
      </c>
      <c r="C532" s="1" t="s">
        <v>63</v>
      </c>
      <c r="D532" s="1" t="s">
        <v>52</v>
      </c>
      <c r="E532" s="1" t="s">
        <v>507</v>
      </c>
      <c r="F532" s="1"/>
      <c r="G532" s="85">
        <f t="shared" si="246"/>
        <v>1587.76</v>
      </c>
      <c r="H532" s="85">
        <f t="shared" si="246"/>
        <v>1587.76</v>
      </c>
      <c r="I532" s="63">
        <f t="shared" si="226"/>
        <v>100</v>
      </c>
    </row>
    <row r="533" spans="1:9" s="21" customFormat="1" ht="48" x14ac:dyDescent="0.2">
      <c r="A533" s="2" t="s">
        <v>32</v>
      </c>
      <c r="B533" s="1" t="s">
        <v>185</v>
      </c>
      <c r="C533" s="1" t="s">
        <v>63</v>
      </c>
      <c r="D533" s="1" t="s">
        <v>52</v>
      </c>
      <c r="E533" s="1" t="s">
        <v>507</v>
      </c>
      <c r="F533" s="1" t="s">
        <v>29</v>
      </c>
      <c r="G533" s="85">
        <v>1587.76</v>
      </c>
      <c r="H533" s="85">
        <f>1219.47725+368.28275</f>
        <v>1587.76</v>
      </c>
      <c r="I533" s="63">
        <f t="shared" si="226"/>
        <v>100</v>
      </c>
    </row>
    <row r="534" spans="1:9" s="21" customFormat="1" ht="12.75" x14ac:dyDescent="0.2">
      <c r="A534" s="2" t="s">
        <v>358</v>
      </c>
      <c r="B534" s="1" t="s">
        <v>185</v>
      </c>
      <c r="C534" s="1" t="s">
        <v>63</v>
      </c>
      <c r="D534" s="1" t="s">
        <v>52</v>
      </c>
      <c r="E534" s="1" t="s">
        <v>508</v>
      </c>
      <c r="F534" s="1"/>
      <c r="G534" s="85">
        <f>G535</f>
        <v>181.76</v>
      </c>
      <c r="H534" s="85">
        <f t="shared" ref="H534" si="247">H535</f>
        <v>181.76</v>
      </c>
      <c r="I534" s="63">
        <f t="shared" si="226"/>
        <v>100</v>
      </c>
    </row>
    <row r="535" spans="1:9" s="21" customFormat="1" ht="48" x14ac:dyDescent="0.2">
      <c r="A535" s="2" t="s">
        <v>32</v>
      </c>
      <c r="B535" s="1" t="s">
        <v>185</v>
      </c>
      <c r="C535" s="1" t="s">
        <v>63</v>
      </c>
      <c r="D535" s="1" t="s">
        <v>52</v>
      </c>
      <c r="E535" s="1" t="s">
        <v>508</v>
      </c>
      <c r="F535" s="1" t="s">
        <v>29</v>
      </c>
      <c r="G535" s="85">
        <f>139.6+42.16</f>
        <v>181.76</v>
      </c>
      <c r="H535" s="85">
        <f>139.6+42.16</f>
        <v>181.76</v>
      </c>
      <c r="I535" s="63">
        <f t="shared" si="226"/>
        <v>100</v>
      </c>
    </row>
    <row r="536" spans="1:9" s="21" customFormat="1" ht="48" x14ac:dyDescent="0.2">
      <c r="A536" s="2" t="s">
        <v>437</v>
      </c>
      <c r="B536" s="1" t="s">
        <v>185</v>
      </c>
      <c r="C536" s="1" t="s">
        <v>63</v>
      </c>
      <c r="D536" s="1" t="s">
        <v>52</v>
      </c>
      <c r="E536" s="1" t="s">
        <v>365</v>
      </c>
      <c r="F536" s="1"/>
      <c r="G536" s="63">
        <f>G537+G543+G545</f>
        <v>9353.0800500000005</v>
      </c>
      <c r="H536" s="63">
        <f t="shared" ref="H536" si="248">H537+H543+H545</f>
        <v>9353.0800500000005</v>
      </c>
      <c r="I536" s="63">
        <f t="shared" si="226"/>
        <v>100</v>
      </c>
    </row>
    <row r="537" spans="1:9" s="21" customFormat="1" ht="48" x14ac:dyDescent="0.2">
      <c r="A537" s="2" t="s">
        <v>438</v>
      </c>
      <c r="B537" s="1" t="s">
        <v>185</v>
      </c>
      <c r="C537" s="1" t="s">
        <v>63</v>
      </c>
      <c r="D537" s="1" t="s">
        <v>52</v>
      </c>
      <c r="E537" s="1" t="s">
        <v>366</v>
      </c>
      <c r="F537" s="1"/>
      <c r="G537" s="63">
        <f>G538+G540</f>
        <v>6335.0800500000005</v>
      </c>
      <c r="H537" s="63">
        <f>H538+H540</f>
        <v>6335.0800500000005</v>
      </c>
      <c r="I537" s="63">
        <f t="shared" si="226"/>
        <v>100</v>
      </c>
    </row>
    <row r="538" spans="1:9" s="21" customFormat="1" ht="48" x14ac:dyDescent="0.2">
      <c r="A538" s="2" t="s">
        <v>439</v>
      </c>
      <c r="B538" s="1" t="s">
        <v>185</v>
      </c>
      <c r="C538" s="1" t="s">
        <v>63</v>
      </c>
      <c r="D538" s="1" t="s">
        <v>52</v>
      </c>
      <c r="E538" s="1" t="s">
        <v>367</v>
      </c>
      <c r="F538" s="1"/>
      <c r="G538" s="63">
        <f>G539</f>
        <v>4271.51</v>
      </c>
      <c r="H538" s="63">
        <f>H539</f>
        <v>4271.51</v>
      </c>
      <c r="I538" s="63">
        <f t="shared" si="226"/>
        <v>100</v>
      </c>
    </row>
    <row r="539" spans="1:9" s="21" customFormat="1" ht="48" x14ac:dyDescent="0.2">
      <c r="A539" s="2" t="s">
        <v>32</v>
      </c>
      <c r="B539" s="1" t="s">
        <v>185</v>
      </c>
      <c r="C539" s="1" t="s">
        <v>63</v>
      </c>
      <c r="D539" s="1" t="s">
        <v>52</v>
      </c>
      <c r="E539" s="1" t="s">
        <v>367</v>
      </c>
      <c r="F539" s="1" t="s">
        <v>29</v>
      </c>
      <c r="G539" s="63">
        <f>3280.729+990.781</f>
        <v>4271.51</v>
      </c>
      <c r="H539" s="63">
        <f>3280.729+990.781</f>
        <v>4271.51</v>
      </c>
      <c r="I539" s="63">
        <f t="shared" si="226"/>
        <v>100</v>
      </c>
    </row>
    <row r="540" spans="1:9" s="21" customFormat="1" ht="48" x14ac:dyDescent="0.2">
      <c r="A540" s="5" t="s">
        <v>440</v>
      </c>
      <c r="B540" s="1" t="s">
        <v>185</v>
      </c>
      <c r="C540" s="1" t="s">
        <v>63</v>
      </c>
      <c r="D540" s="1" t="s">
        <v>52</v>
      </c>
      <c r="E540" s="1" t="s">
        <v>368</v>
      </c>
      <c r="F540" s="1"/>
      <c r="G540" s="63">
        <f>G541+G542</f>
        <v>2063.5700500000003</v>
      </c>
      <c r="H540" s="63">
        <f>H541+H542</f>
        <v>2063.5700499999998</v>
      </c>
      <c r="I540" s="63">
        <f t="shared" si="226"/>
        <v>99.999999999999972</v>
      </c>
    </row>
    <row r="541" spans="1:9" s="21" customFormat="1" ht="24" x14ac:dyDescent="0.2">
      <c r="A541" s="2" t="s">
        <v>40</v>
      </c>
      <c r="B541" s="1" t="s">
        <v>185</v>
      </c>
      <c r="C541" s="1" t="s">
        <v>63</v>
      </c>
      <c r="D541" s="1" t="s">
        <v>52</v>
      </c>
      <c r="E541" s="1" t="s">
        <v>368</v>
      </c>
      <c r="F541" s="1" t="s">
        <v>44</v>
      </c>
      <c r="G541" s="63">
        <v>2025.7600500000001</v>
      </c>
      <c r="H541" s="63">
        <f>1942.38799+83.37206</f>
        <v>2025.7600499999999</v>
      </c>
      <c r="I541" s="63">
        <f t="shared" si="226"/>
        <v>99.999999999999986</v>
      </c>
    </row>
    <row r="542" spans="1:9" s="21" customFormat="1" ht="24" x14ac:dyDescent="0.2">
      <c r="A542" s="5" t="s">
        <v>64</v>
      </c>
      <c r="B542" s="1" t="s">
        <v>185</v>
      </c>
      <c r="C542" s="1" t="s">
        <v>63</v>
      </c>
      <c r="D542" s="1" t="s">
        <v>52</v>
      </c>
      <c r="E542" s="1" t="s">
        <v>368</v>
      </c>
      <c r="F542" s="1" t="s">
        <v>70</v>
      </c>
      <c r="G542" s="63">
        <v>37.81</v>
      </c>
      <c r="H542" s="63">
        <f>12.079+11.731+14</f>
        <v>37.81</v>
      </c>
      <c r="I542" s="63">
        <f t="shared" si="226"/>
        <v>100</v>
      </c>
    </row>
    <row r="543" spans="1:9" s="21" customFormat="1" ht="12.75" x14ac:dyDescent="0.2">
      <c r="A543" s="5" t="s">
        <v>358</v>
      </c>
      <c r="B543" s="1" t="s">
        <v>185</v>
      </c>
      <c r="C543" s="1" t="s">
        <v>63</v>
      </c>
      <c r="D543" s="1" t="s">
        <v>52</v>
      </c>
      <c r="E543" s="1" t="s">
        <v>369</v>
      </c>
      <c r="F543" s="1"/>
      <c r="G543" s="63">
        <f>G544</f>
        <v>2978.9</v>
      </c>
      <c r="H543" s="63">
        <f>H544</f>
        <v>2978.9</v>
      </c>
      <c r="I543" s="63">
        <f t="shared" si="226"/>
        <v>100</v>
      </c>
    </row>
    <row r="544" spans="1:9" s="21" customFormat="1" ht="48" x14ac:dyDescent="0.2">
      <c r="A544" s="2" t="s">
        <v>32</v>
      </c>
      <c r="B544" s="1" t="s">
        <v>185</v>
      </c>
      <c r="C544" s="1" t="s">
        <v>63</v>
      </c>
      <c r="D544" s="1" t="s">
        <v>52</v>
      </c>
      <c r="E544" s="1" t="s">
        <v>369</v>
      </c>
      <c r="F544" s="1" t="s">
        <v>29</v>
      </c>
      <c r="G544" s="63">
        <v>2978.9</v>
      </c>
      <c r="H544" s="63">
        <f>2287.942+690.958</f>
        <v>2978.9</v>
      </c>
      <c r="I544" s="63">
        <f t="shared" si="226"/>
        <v>100</v>
      </c>
    </row>
    <row r="545" spans="1:9" ht="48" x14ac:dyDescent="0.2">
      <c r="A545" s="2" t="s">
        <v>548</v>
      </c>
      <c r="B545" s="1" t="s">
        <v>185</v>
      </c>
      <c r="C545" s="1" t="s">
        <v>63</v>
      </c>
      <c r="D545" s="1" t="s">
        <v>52</v>
      </c>
      <c r="E545" s="1" t="s">
        <v>553</v>
      </c>
      <c r="F545" s="1"/>
      <c r="G545" s="88">
        <f>G546</f>
        <v>39.1</v>
      </c>
      <c r="H545" s="88">
        <f t="shared" ref="H545" si="249">H546</f>
        <v>39.1</v>
      </c>
      <c r="I545" s="63">
        <f t="shared" si="226"/>
        <v>100</v>
      </c>
    </row>
    <row r="546" spans="1:9" ht="24" x14ac:dyDescent="0.2">
      <c r="A546" s="2" t="s">
        <v>40</v>
      </c>
      <c r="B546" s="1" t="s">
        <v>70</v>
      </c>
      <c r="C546" s="1" t="s">
        <v>63</v>
      </c>
      <c r="D546" s="1" t="s">
        <v>52</v>
      </c>
      <c r="E546" s="1" t="s">
        <v>553</v>
      </c>
      <c r="F546" s="1" t="s">
        <v>44</v>
      </c>
      <c r="G546" s="88">
        <v>39.1</v>
      </c>
      <c r="H546" s="88">
        <v>39.1</v>
      </c>
      <c r="I546" s="63">
        <f t="shared" si="226"/>
        <v>100</v>
      </c>
    </row>
    <row r="547" spans="1:9" ht="12.75" x14ac:dyDescent="0.2">
      <c r="A547" s="2" t="s">
        <v>450</v>
      </c>
      <c r="B547" s="1" t="s">
        <v>185</v>
      </c>
      <c r="C547" s="1" t="s">
        <v>63</v>
      </c>
      <c r="D547" s="1" t="s">
        <v>52</v>
      </c>
      <c r="E547" s="1" t="s">
        <v>0</v>
      </c>
      <c r="F547" s="1"/>
      <c r="G547" s="84">
        <f t="shared" ref="G547:H547" si="250">G548</f>
        <v>70.16865</v>
      </c>
      <c r="H547" s="84">
        <f t="shared" si="250"/>
        <v>70.16865</v>
      </c>
      <c r="I547" s="63">
        <f t="shared" si="226"/>
        <v>100</v>
      </c>
    </row>
    <row r="548" spans="1:9" ht="24" x14ac:dyDescent="0.2">
      <c r="A548" s="2" t="s">
        <v>452</v>
      </c>
      <c r="B548" s="1" t="s">
        <v>185</v>
      </c>
      <c r="C548" s="1" t="s">
        <v>63</v>
      </c>
      <c r="D548" s="1" t="s">
        <v>52</v>
      </c>
      <c r="E548" s="1" t="s">
        <v>451</v>
      </c>
      <c r="F548" s="1"/>
      <c r="G548" s="84">
        <f>G549</f>
        <v>70.16865</v>
      </c>
      <c r="H548" s="84">
        <f t="shared" ref="H548" si="251">H549</f>
        <v>70.16865</v>
      </c>
      <c r="I548" s="63">
        <f t="shared" si="226"/>
        <v>100</v>
      </c>
    </row>
    <row r="549" spans="1:9" ht="24" x14ac:dyDescent="0.2">
      <c r="A549" s="2" t="s">
        <v>64</v>
      </c>
      <c r="B549" s="1" t="s">
        <v>185</v>
      </c>
      <c r="C549" s="1" t="s">
        <v>63</v>
      </c>
      <c r="D549" s="1" t="s">
        <v>52</v>
      </c>
      <c r="E549" s="1" t="s">
        <v>451</v>
      </c>
      <c r="F549" s="1" t="s">
        <v>70</v>
      </c>
      <c r="G549" s="84">
        <v>70.16865</v>
      </c>
      <c r="H549" s="84">
        <f>28+1.71365+40.455</f>
        <v>70.16865</v>
      </c>
      <c r="I549" s="63">
        <f t="shared" si="226"/>
        <v>100</v>
      </c>
    </row>
    <row r="550" spans="1:9" s="21" customFormat="1" ht="12.75" x14ac:dyDescent="0.2">
      <c r="A550" s="2" t="s">
        <v>58</v>
      </c>
      <c r="B550" s="1" t="s">
        <v>185</v>
      </c>
      <c r="C550" s="1" t="s">
        <v>47</v>
      </c>
      <c r="D550" s="1" t="s">
        <v>15</v>
      </c>
      <c r="E550" s="1"/>
      <c r="F550" s="1"/>
      <c r="G550" s="63">
        <f t="shared" ref="G550:H555" si="252">G551</f>
        <v>125</v>
      </c>
      <c r="H550" s="63">
        <f t="shared" si="252"/>
        <v>125</v>
      </c>
      <c r="I550" s="63">
        <f t="shared" si="226"/>
        <v>100</v>
      </c>
    </row>
    <row r="551" spans="1:9" s="21" customFormat="1" ht="12.75" x14ac:dyDescent="0.2">
      <c r="A551" s="2" t="s">
        <v>51</v>
      </c>
      <c r="B551" s="1" t="s">
        <v>185</v>
      </c>
      <c r="C551" s="1" t="s">
        <v>47</v>
      </c>
      <c r="D551" s="1" t="s">
        <v>46</v>
      </c>
      <c r="E551" s="1"/>
      <c r="F551" s="1"/>
      <c r="G551" s="63">
        <f>G553</f>
        <v>125</v>
      </c>
      <c r="H551" s="63">
        <f>H553</f>
        <v>125</v>
      </c>
      <c r="I551" s="63">
        <f t="shared" si="226"/>
        <v>100</v>
      </c>
    </row>
    <row r="552" spans="1:9" ht="24" x14ac:dyDescent="0.2">
      <c r="A552" s="2" t="s">
        <v>394</v>
      </c>
      <c r="B552" s="1" t="s">
        <v>185</v>
      </c>
      <c r="C552" s="1" t="s">
        <v>47</v>
      </c>
      <c r="D552" s="1" t="s">
        <v>46</v>
      </c>
      <c r="E552" s="1" t="s">
        <v>3</v>
      </c>
      <c r="F552" s="1"/>
      <c r="G552" s="63">
        <f>G553</f>
        <v>125</v>
      </c>
      <c r="H552" s="63">
        <f t="shared" ref="H552" si="253">H553</f>
        <v>125</v>
      </c>
      <c r="I552" s="63">
        <f t="shared" si="226"/>
        <v>100</v>
      </c>
    </row>
    <row r="553" spans="1:9" s="21" customFormat="1" ht="36" x14ac:dyDescent="0.2">
      <c r="A553" s="2" t="s">
        <v>233</v>
      </c>
      <c r="B553" s="1" t="s">
        <v>185</v>
      </c>
      <c r="C553" s="1" t="s">
        <v>47</v>
      </c>
      <c r="D553" s="1" t="s">
        <v>46</v>
      </c>
      <c r="E553" s="1" t="s">
        <v>50</v>
      </c>
      <c r="F553" s="1"/>
      <c r="G553" s="63">
        <f t="shared" si="252"/>
        <v>125</v>
      </c>
      <c r="H553" s="63">
        <f t="shared" si="252"/>
        <v>125</v>
      </c>
      <c r="I553" s="63">
        <f t="shared" si="226"/>
        <v>100</v>
      </c>
    </row>
    <row r="554" spans="1:9" s="21" customFormat="1" ht="24" x14ac:dyDescent="0.2">
      <c r="A554" s="2" t="s">
        <v>48</v>
      </c>
      <c r="B554" s="1" t="s">
        <v>185</v>
      </c>
      <c r="C554" s="1" t="s">
        <v>47</v>
      </c>
      <c r="D554" s="1" t="s">
        <v>46</v>
      </c>
      <c r="E554" s="1" t="s">
        <v>210</v>
      </c>
      <c r="F554" s="1"/>
      <c r="G554" s="63">
        <f t="shared" si="252"/>
        <v>125</v>
      </c>
      <c r="H554" s="63">
        <f t="shared" si="252"/>
        <v>125</v>
      </c>
      <c r="I554" s="63">
        <f t="shared" ref="I554:I565" si="254">H554/G554*100</f>
        <v>100</v>
      </c>
    </row>
    <row r="555" spans="1:9" s="21" customFormat="1" ht="24" x14ac:dyDescent="0.2">
      <c r="A555" s="2" t="s">
        <v>243</v>
      </c>
      <c r="B555" s="1" t="s">
        <v>185</v>
      </c>
      <c r="C555" s="1" t="s">
        <v>47</v>
      </c>
      <c r="D555" s="1" t="s">
        <v>46</v>
      </c>
      <c r="E555" s="1" t="s">
        <v>45</v>
      </c>
      <c r="F555" s="1"/>
      <c r="G555" s="63">
        <f t="shared" si="252"/>
        <v>125</v>
      </c>
      <c r="H555" s="63">
        <f t="shared" si="252"/>
        <v>125</v>
      </c>
      <c r="I555" s="63">
        <f t="shared" si="254"/>
        <v>100</v>
      </c>
    </row>
    <row r="556" spans="1:9" s="21" customFormat="1" ht="24" x14ac:dyDescent="0.2">
      <c r="A556" s="2" t="s">
        <v>40</v>
      </c>
      <c r="B556" s="1" t="s">
        <v>185</v>
      </c>
      <c r="C556" s="1" t="s">
        <v>47</v>
      </c>
      <c r="D556" s="1" t="s">
        <v>46</v>
      </c>
      <c r="E556" s="1" t="s">
        <v>45</v>
      </c>
      <c r="F556" s="1" t="s">
        <v>44</v>
      </c>
      <c r="G556" s="63">
        <v>125</v>
      </c>
      <c r="H556" s="63">
        <v>125</v>
      </c>
      <c r="I556" s="63">
        <f t="shared" si="254"/>
        <v>100</v>
      </c>
    </row>
    <row r="557" spans="1:9" s="21" customFormat="1" ht="12.75" x14ac:dyDescent="0.2">
      <c r="A557" s="2" t="s">
        <v>43</v>
      </c>
      <c r="B557" s="1" t="s">
        <v>185</v>
      </c>
      <c r="C557" s="1" t="s">
        <v>31</v>
      </c>
      <c r="D557" s="1"/>
      <c r="E557" s="1"/>
      <c r="F557" s="1"/>
      <c r="G557" s="63">
        <f>G558</f>
        <v>1574.84527</v>
      </c>
      <c r="H557" s="63">
        <f t="shared" ref="H557" si="255">H558</f>
        <v>1574.84527</v>
      </c>
      <c r="I557" s="63">
        <f t="shared" si="254"/>
        <v>100</v>
      </c>
    </row>
    <row r="558" spans="1:9" s="21" customFormat="1" ht="12.75" x14ac:dyDescent="0.2">
      <c r="A558" s="2" t="s">
        <v>42</v>
      </c>
      <c r="B558" s="1" t="s">
        <v>185</v>
      </c>
      <c r="C558" s="1" t="s">
        <v>31</v>
      </c>
      <c r="D558" s="1" t="s">
        <v>12</v>
      </c>
      <c r="E558" s="1"/>
      <c r="F558" s="1"/>
      <c r="G558" s="63">
        <f t="shared" ref="G558:H558" si="256">G560</f>
        <v>1574.84527</v>
      </c>
      <c r="H558" s="63">
        <f t="shared" si="256"/>
        <v>1574.84527</v>
      </c>
      <c r="I558" s="63">
        <f t="shared" si="254"/>
        <v>100</v>
      </c>
    </row>
    <row r="559" spans="1:9" ht="24" x14ac:dyDescent="0.2">
      <c r="A559" s="2" t="s">
        <v>394</v>
      </c>
      <c r="B559" s="1" t="s">
        <v>185</v>
      </c>
      <c r="C559" s="1" t="s">
        <v>31</v>
      </c>
      <c r="D559" s="1" t="s">
        <v>12</v>
      </c>
      <c r="E559" s="1" t="s">
        <v>3</v>
      </c>
      <c r="F559" s="1"/>
      <c r="G559" s="63">
        <f>G560</f>
        <v>1574.84527</v>
      </c>
      <c r="H559" s="63">
        <f t="shared" ref="H559" si="257">H560</f>
        <v>1574.84527</v>
      </c>
      <c r="I559" s="63">
        <f t="shared" si="254"/>
        <v>100</v>
      </c>
    </row>
    <row r="560" spans="1:9" s="21" customFormat="1" ht="36" x14ac:dyDescent="0.2">
      <c r="A560" s="2" t="s">
        <v>297</v>
      </c>
      <c r="B560" s="1" t="s">
        <v>185</v>
      </c>
      <c r="C560" s="1" t="s">
        <v>31</v>
      </c>
      <c r="D560" s="1" t="s">
        <v>12</v>
      </c>
      <c r="E560" s="1" t="s">
        <v>325</v>
      </c>
      <c r="F560" s="1"/>
      <c r="G560" s="88">
        <f t="shared" ref="G560:H561" si="258">G561</f>
        <v>1574.84527</v>
      </c>
      <c r="H560" s="88">
        <f t="shared" si="258"/>
        <v>1574.84527</v>
      </c>
      <c r="I560" s="63">
        <f t="shared" si="254"/>
        <v>100</v>
      </c>
    </row>
    <row r="561" spans="1:9" s="21" customFormat="1" ht="36" x14ac:dyDescent="0.2">
      <c r="A561" s="5" t="s">
        <v>41</v>
      </c>
      <c r="B561" s="1" t="s">
        <v>185</v>
      </c>
      <c r="C561" s="1" t="s">
        <v>31</v>
      </c>
      <c r="D561" s="1" t="s">
        <v>12</v>
      </c>
      <c r="E561" s="1" t="s">
        <v>328</v>
      </c>
      <c r="F561" s="1"/>
      <c r="G561" s="88">
        <f>G562</f>
        <v>1574.84527</v>
      </c>
      <c r="H561" s="88">
        <f t="shared" si="258"/>
        <v>1574.84527</v>
      </c>
      <c r="I561" s="63">
        <f t="shared" si="254"/>
        <v>100</v>
      </c>
    </row>
    <row r="562" spans="1:9" s="21" customFormat="1" ht="48" x14ac:dyDescent="0.2">
      <c r="A562" s="2" t="s">
        <v>441</v>
      </c>
      <c r="B562" s="1" t="s">
        <v>185</v>
      </c>
      <c r="C562" s="1" t="s">
        <v>31</v>
      </c>
      <c r="D562" s="1" t="s">
        <v>12</v>
      </c>
      <c r="E562" s="1" t="s">
        <v>329</v>
      </c>
      <c r="F562" s="1"/>
      <c r="G562" s="88">
        <f t="shared" ref="G562:H562" si="259">G563+G564</f>
        <v>1574.84527</v>
      </c>
      <c r="H562" s="88">
        <f t="shared" si="259"/>
        <v>1574.84527</v>
      </c>
      <c r="I562" s="63">
        <f t="shared" si="254"/>
        <v>100</v>
      </c>
    </row>
    <row r="563" spans="1:9" s="21" customFormat="1" ht="48" x14ac:dyDescent="0.2">
      <c r="A563" s="2" t="s">
        <v>32</v>
      </c>
      <c r="B563" s="1" t="s">
        <v>185</v>
      </c>
      <c r="C563" s="1" t="s">
        <v>31</v>
      </c>
      <c r="D563" s="1" t="s">
        <v>12</v>
      </c>
      <c r="E563" s="1" t="s">
        <v>329</v>
      </c>
      <c r="F563" s="1">
        <v>100</v>
      </c>
      <c r="G563" s="88">
        <v>71.632999999999996</v>
      </c>
      <c r="H563" s="88">
        <v>71.632999999999996</v>
      </c>
      <c r="I563" s="63">
        <f t="shared" si="254"/>
        <v>100</v>
      </c>
    </row>
    <row r="564" spans="1:9" s="21" customFormat="1" ht="24" x14ac:dyDescent="0.2">
      <c r="A564" s="2" t="s">
        <v>40</v>
      </c>
      <c r="B564" s="1" t="s">
        <v>185</v>
      </c>
      <c r="C564" s="1" t="s">
        <v>31</v>
      </c>
      <c r="D564" s="1" t="s">
        <v>12</v>
      </c>
      <c r="E564" s="1" t="s">
        <v>329</v>
      </c>
      <c r="F564" s="1">
        <v>200</v>
      </c>
      <c r="G564" s="88">
        <v>1503.21227</v>
      </c>
      <c r="H564" s="88">
        <v>1503.21227</v>
      </c>
      <c r="I564" s="63">
        <f t="shared" si="254"/>
        <v>100</v>
      </c>
    </row>
    <row r="565" spans="1:9" s="21" customFormat="1" ht="12.75" x14ac:dyDescent="0.2">
      <c r="A565" s="24" t="s">
        <v>184</v>
      </c>
      <c r="B565" s="3"/>
      <c r="C565" s="3"/>
      <c r="D565" s="3"/>
      <c r="E565" s="3"/>
      <c r="F565" s="3"/>
      <c r="G565" s="62">
        <f>G9+G143+G222+G480</f>
        <v>771023.35565000004</v>
      </c>
      <c r="H565" s="62">
        <f>H9+H143+H222+H480</f>
        <v>757290.51688000001</v>
      </c>
      <c r="I565" s="62">
        <f t="shared" si="254"/>
        <v>98.218881611125425</v>
      </c>
    </row>
    <row r="566" spans="1:9" s="21" customFormat="1" ht="12.75" hidden="1" x14ac:dyDescent="0.2">
      <c r="A566" s="19"/>
      <c r="B566" s="20"/>
      <c r="C566" s="13"/>
      <c r="D566" s="12"/>
      <c r="E566" s="185" t="s">
        <v>181</v>
      </c>
      <c r="F566" s="203"/>
      <c r="G566" s="57">
        <f>G144+G223</f>
        <v>31089.645389999998</v>
      </c>
      <c r="H566" s="57">
        <f>H144+H223</f>
        <v>31021.713309999992</v>
      </c>
      <c r="I566" s="63">
        <f>H566/G566*100</f>
        <v>99.781496124681254</v>
      </c>
    </row>
    <row r="567" spans="1:9" s="21" customFormat="1" ht="12.75" hidden="1" x14ac:dyDescent="0.2">
      <c r="A567" s="19"/>
      <c r="B567" s="20"/>
      <c r="C567" s="13" t="s">
        <v>12</v>
      </c>
      <c r="D567" s="12" t="s">
        <v>23</v>
      </c>
      <c r="E567" s="13" t="s">
        <v>12</v>
      </c>
      <c r="F567" s="12" t="s">
        <v>23</v>
      </c>
      <c r="G567" s="57">
        <f>G224</f>
        <v>2222.96164</v>
      </c>
      <c r="H567" s="57">
        <f>H224</f>
        <v>2222.96164</v>
      </c>
      <c r="I567" s="63">
        <f t="shared" ref="I567:I626" si="260">H567/G567*100</f>
        <v>100</v>
      </c>
    </row>
    <row r="568" spans="1:9" s="21" customFormat="1" ht="12.75" hidden="1" x14ac:dyDescent="0.2">
      <c r="A568" s="19"/>
      <c r="B568" s="23"/>
      <c r="C568" s="13" t="s">
        <v>12</v>
      </c>
      <c r="D568" s="12" t="s">
        <v>6</v>
      </c>
      <c r="E568" s="13" t="s">
        <v>12</v>
      </c>
      <c r="F568" s="12" t="s">
        <v>6</v>
      </c>
      <c r="G568" s="57">
        <f>G228</f>
        <v>2134.7073700000001</v>
      </c>
      <c r="H568" s="57">
        <f>H228</f>
        <v>2107.7073600000003</v>
      </c>
      <c r="I568" s="63">
        <f t="shared" si="260"/>
        <v>98.735189170214014</v>
      </c>
    </row>
    <row r="569" spans="1:9" s="21" customFormat="1" ht="12.75" hidden="1" x14ac:dyDescent="0.2">
      <c r="A569" s="19"/>
      <c r="B569" s="22"/>
      <c r="C569" s="13" t="s">
        <v>12</v>
      </c>
      <c r="D569" s="12" t="s">
        <v>52</v>
      </c>
      <c r="E569" s="13" t="s">
        <v>12</v>
      </c>
      <c r="F569" s="12" t="s">
        <v>52</v>
      </c>
      <c r="G569" s="57">
        <f>G235</f>
        <v>17851.06927</v>
      </c>
      <c r="H569" s="57">
        <f>H235</f>
        <v>17832.352669999997</v>
      </c>
      <c r="I569" s="63">
        <f t="shared" si="260"/>
        <v>99.895151378794665</v>
      </c>
    </row>
    <row r="570" spans="1:9" s="21" customFormat="1" ht="12.75" hidden="1" x14ac:dyDescent="0.2">
      <c r="A570" s="19"/>
      <c r="B570" s="22"/>
      <c r="C570" s="13" t="s">
        <v>12</v>
      </c>
      <c r="D570" s="12" t="s">
        <v>30</v>
      </c>
      <c r="E570" s="13" t="s">
        <v>12</v>
      </c>
      <c r="F570" s="12" t="s">
        <v>30</v>
      </c>
      <c r="G570" s="57">
        <f>G264</f>
        <v>9.4</v>
      </c>
      <c r="H570" s="57">
        <f>H264</f>
        <v>0</v>
      </c>
      <c r="I570" s="63">
        <f t="shared" si="260"/>
        <v>0</v>
      </c>
    </row>
    <row r="571" spans="1:9" s="21" customFormat="1" ht="12.75" hidden="1" x14ac:dyDescent="0.2">
      <c r="A571" s="19"/>
      <c r="B571" s="22"/>
      <c r="C571" s="13" t="s">
        <v>12</v>
      </c>
      <c r="D571" s="12" t="s">
        <v>46</v>
      </c>
      <c r="E571" s="13" t="s">
        <v>12</v>
      </c>
      <c r="F571" s="12" t="s">
        <v>46</v>
      </c>
      <c r="G571" s="57">
        <f>G145+G270</f>
        <v>7242.5907299999999</v>
      </c>
      <c r="H571" s="57">
        <f>H145+H270</f>
        <v>7238.12374</v>
      </c>
      <c r="I571" s="63">
        <f t="shared" si="260"/>
        <v>99.938323313210333</v>
      </c>
    </row>
    <row r="572" spans="1:9" s="21" customFormat="1" ht="12.75" hidden="1" x14ac:dyDescent="0.2">
      <c r="A572" s="19"/>
      <c r="B572" s="22"/>
      <c r="C572" s="13" t="s">
        <v>12</v>
      </c>
      <c r="D572" s="12" t="s">
        <v>69</v>
      </c>
      <c r="E572" s="13" t="s">
        <v>12</v>
      </c>
      <c r="F572" s="12" t="s">
        <v>69</v>
      </c>
      <c r="G572" s="57">
        <f>G275</f>
        <v>255.8</v>
      </c>
      <c r="H572" s="57">
        <f>H275</f>
        <v>255.8</v>
      </c>
      <c r="I572" s="63">
        <f t="shared" si="260"/>
        <v>100</v>
      </c>
    </row>
    <row r="573" spans="1:9" s="21" customFormat="1" ht="12.75" hidden="1" x14ac:dyDescent="0.2">
      <c r="A573" s="19"/>
      <c r="B573" s="22"/>
      <c r="C573" s="13" t="s">
        <v>12</v>
      </c>
      <c r="D573" s="12" t="s">
        <v>31</v>
      </c>
      <c r="E573" s="13" t="s">
        <v>12</v>
      </c>
      <c r="F573" s="12" t="s">
        <v>31</v>
      </c>
      <c r="G573" s="57"/>
      <c r="H573" s="57"/>
      <c r="I573" s="63" t="e">
        <f t="shared" si="260"/>
        <v>#DIV/0!</v>
      </c>
    </row>
    <row r="574" spans="1:9" s="21" customFormat="1" ht="12.75" hidden="1" x14ac:dyDescent="0.2">
      <c r="A574" s="19"/>
      <c r="B574" s="20"/>
      <c r="C574" s="13" t="s">
        <v>12</v>
      </c>
      <c r="D574" s="12" t="s">
        <v>20</v>
      </c>
      <c r="E574" s="13" t="s">
        <v>12</v>
      </c>
      <c r="F574" s="12" t="s">
        <v>20</v>
      </c>
      <c r="G574" s="57">
        <f>G281</f>
        <v>1373.1163800000002</v>
      </c>
      <c r="H574" s="57">
        <f>H281</f>
        <v>1364.7679000000001</v>
      </c>
      <c r="I574" s="63">
        <f t="shared" si="260"/>
        <v>99.392004922408688</v>
      </c>
    </row>
    <row r="575" spans="1:9" s="21" customFormat="1" ht="12.75" hidden="1" x14ac:dyDescent="0.2">
      <c r="A575" s="19"/>
      <c r="B575" s="20"/>
      <c r="C575" s="187" t="s">
        <v>175</v>
      </c>
      <c r="D575" s="198"/>
      <c r="E575" s="187" t="s">
        <v>175</v>
      </c>
      <c r="F575" s="198"/>
      <c r="G575" s="57"/>
      <c r="H575" s="57"/>
      <c r="I575" s="63" t="e">
        <f t="shared" si="260"/>
        <v>#DIV/0!</v>
      </c>
    </row>
    <row r="576" spans="1:9" s="21" customFormat="1" ht="12.75" hidden="1" x14ac:dyDescent="0.2">
      <c r="A576" s="19"/>
      <c r="B576" s="20"/>
      <c r="C576" s="13" t="s">
        <v>23</v>
      </c>
      <c r="D576" s="12" t="s">
        <v>6</v>
      </c>
      <c r="E576" s="13" t="s">
        <v>23</v>
      </c>
      <c r="F576" s="12" t="s">
        <v>6</v>
      </c>
      <c r="G576" s="57"/>
      <c r="H576" s="57"/>
      <c r="I576" s="63" t="e">
        <f t="shared" si="260"/>
        <v>#DIV/0!</v>
      </c>
    </row>
    <row r="577" spans="1:9" s="21" customFormat="1" ht="12.75" hidden="1" x14ac:dyDescent="0.2">
      <c r="A577" s="19"/>
      <c r="B577" s="20"/>
      <c r="C577" s="187" t="s">
        <v>173</v>
      </c>
      <c r="D577" s="198"/>
      <c r="E577" s="187" t="s">
        <v>173</v>
      </c>
      <c r="F577" s="198"/>
      <c r="G577" s="57">
        <f>G300+G163</f>
        <v>5400.3825000000006</v>
      </c>
      <c r="H577" s="57">
        <f>H300+H163</f>
        <v>5381.6315300000006</v>
      </c>
      <c r="I577" s="63">
        <f t="shared" si="260"/>
        <v>99.65278440925249</v>
      </c>
    </row>
    <row r="578" spans="1:9" s="21" customFormat="1" ht="12.75" hidden="1" x14ac:dyDescent="0.2">
      <c r="A578" s="19"/>
      <c r="B578" s="20"/>
      <c r="C578" s="13" t="s">
        <v>6</v>
      </c>
      <c r="D578" s="12" t="s">
        <v>23</v>
      </c>
      <c r="E578" s="13" t="s">
        <v>6</v>
      </c>
      <c r="F578" s="12" t="s">
        <v>23</v>
      </c>
      <c r="G578" s="57"/>
      <c r="H578" s="57"/>
      <c r="I578" s="63" t="e">
        <f t="shared" si="260"/>
        <v>#DIV/0!</v>
      </c>
    </row>
    <row r="579" spans="1:9" s="21" customFormat="1" ht="12.75" hidden="1" x14ac:dyDescent="0.2">
      <c r="A579" s="19"/>
      <c r="B579" s="20"/>
      <c r="C579" s="13" t="s">
        <v>6</v>
      </c>
      <c r="D579" s="12" t="s">
        <v>59</v>
      </c>
      <c r="E579" s="13" t="s">
        <v>6</v>
      </c>
      <c r="F579" s="12" t="s">
        <v>59</v>
      </c>
      <c r="G579" s="57">
        <f>G301+G164</f>
        <v>5385.4250000000002</v>
      </c>
      <c r="H579" s="57">
        <f>H301+H164</f>
        <v>5366.6740300000001</v>
      </c>
      <c r="I579" s="63">
        <f t="shared" si="260"/>
        <v>99.65182005134227</v>
      </c>
    </row>
    <row r="580" spans="1:9" s="21" customFormat="1" ht="12.75" hidden="1" x14ac:dyDescent="0.2">
      <c r="A580" s="19"/>
      <c r="B580" s="20"/>
      <c r="C580" s="13"/>
      <c r="D580" s="12"/>
      <c r="E580" s="13" t="s">
        <v>6</v>
      </c>
      <c r="F580" s="12" t="s">
        <v>47</v>
      </c>
      <c r="G580" s="57"/>
      <c r="H580" s="57"/>
      <c r="I580" s="63" t="e">
        <f t="shared" si="260"/>
        <v>#DIV/0!</v>
      </c>
    </row>
    <row r="581" spans="1:9" ht="12.75" hidden="1" x14ac:dyDescent="0.2">
      <c r="A581" s="18"/>
      <c r="B581" s="20"/>
      <c r="C581" s="13" t="s">
        <v>6</v>
      </c>
      <c r="D581" s="12" t="s">
        <v>7</v>
      </c>
      <c r="E581" s="13" t="s">
        <v>6</v>
      </c>
      <c r="F581" s="12" t="s">
        <v>7</v>
      </c>
      <c r="G581" s="57">
        <f>G320</f>
        <v>14.9575</v>
      </c>
      <c r="H581" s="57">
        <f>H320</f>
        <v>14.9575</v>
      </c>
      <c r="I581" s="63">
        <f t="shared" si="260"/>
        <v>100</v>
      </c>
    </row>
    <row r="582" spans="1:9" hidden="1" x14ac:dyDescent="0.25">
      <c r="A582" s="18"/>
      <c r="B582" s="20"/>
      <c r="C582" s="187" t="s">
        <v>170</v>
      </c>
      <c r="D582" s="198"/>
      <c r="E582" s="187" t="s">
        <v>170</v>
      </c>
      <c r="F582" s="198"/>
      <c r="G582" s="60">
        <f>G584+G585+G586+G587</f>
        <v>58491.338509999994</v>
      </c>
      <c r="H582" s="60">
        <f t="shared" ref="H582" si="261">H584+H585+H586+H587</f>
        <v>52087.784549999997</v>
      </c>
      <c r="I582" s="63">
        <f t="shared" si="260"/>
        <v>89.052132977081371</v>
      </c>
    </row>
    <row r="583" spans="1:9" hidden="1" x14ac:dyDescent="0.25">
      <c r="A583" s="18"/>
      <c r="B583" s="20"/>
      <c r="C583" s="13" t="s">
        <v>52</v>
      </c>
      <c r="D583" s="12" t="s">
        <v>12</v>
      </c>
      <c r="E583" s="13" t="s">
        <v>52</v>
      </c>
      <c r="F583" s="12" t="s">
        <v>12</v>
      </c>
      <c r="G583" s="60"/>
      <c r="H583" s="60"/>
      <c r="I583" s="63" t="e">
        <f t="shared" si="260"/>
        <v>#DIV/0!</v>
      </c>
    </row>
    <row r="584" spans="1:9" hidden="1" x14ac:dyDescent="0.25">
      <c r="A584" s="18"/>
      <c r="B584" s="20"/>
      <c r="C584" s="13" t="s">
        <v>52</v>
      </c>
      <c r="D584" s="12" t="s">
        <v>30</v>
      </c>
      <c r="E584" s="13" t="s">
        <v>52</v>
      </c>
      <c r="F584" s="12" t="s">
        <v>30</v>
      </c>
      <c r="G584" s="60">
        <f>G327</f>
        <v>823.5</v>
      </c>
      <c r="H584" s="60">
        <f>H327</f>
        <v>725.44440000000009</v>
      </c>
      <c r="I584" s="63">
        <f t="shared" si="260"/>
        <v>88.092823315118409</v>
      </c>
    </row>
    <row r="585" spans="1:9" hidden="1" x14ac:dyDescent="0.25">
      <c r="A585" s="18"/>
      <c r="B585" s="20"/>
      <c r="C585" s="13"/>
      <c r="D585" s="12"/>
      <c r="E585" s="13" t="s">
        <v>52</v>
      </c>
      <c r="F585" s="12" t="s">
        <v>46</v>
      </c>
      <c r="G585" s="60">
        <f>G337</f>
        <v>2326.18453</v>
      </c>
      <c r="H585" s="60">
        <f>H337</f>
        <v>1626.18453</v>
      </c>
      <c r="I585" s="63">
        <f t="shared" si="260"/>
        <v>69.907804347748808</v>
      </c>
    </row>
    <row r="586" spans="1:9" hidden="1" x14ac:dyDescent="0.25">
      <c r="A586" s="18"/>
      <c r="B586" s="20"/>
      <c r="C586" s="13" t="s">
        <v>52</v>
      </c>
      <c r="D586" s="12" t="s">
        <v>59</v>
      </c>
      <c r="E586" s="13" t="s">
        <v>52</v>
      </c>
      <c r="F586" s="12" t="s">
        <v>59</v>
      </c>
      <c r="G586" s="60">
        <f>G343+G170</f>
        <v>22431.733650000002</v>
      </c>
      <c r="H586" s="60">
        <f>H343+H170</f>
        <v>18617.486969999998</v>
      </c>
      <c r="I586" s="63">
        <f t="shared" si="260"/>
        <v>82.996201989942918</v>
      </c>
    </row>
    <row r="587" spans="1:9" hidden="1" x14ac:dyDescent="0.25">
      <c r="A587" s="18"/>
      <c r="B587" s="20"/>
      <c r="C587" s="13" t="s">
        <v>52</v>
      </c>
      <c r="D587" s="12" t="s">
        <v>24</v>
      </c>
      <c r="E587" s="13" t="s">
        <v>52</v>
      </c>
      <c r="F587" s="12" t="s">
        <v>24</v>
      </c>
      <c r="G587" s="60">
        <f>G351+G177</f>
        <v>32909.920329999994</v>
      </c>
      <c r="H587" s="60">
        <f>H351+H177</f>
        <v>31118.66865</v>
      </c>
      <c r="I587" s="63">
        <f t="shared" si="260"/>
        <v>94.55710721254124</v>
      </c>
    </row>
    <row r="588" spans="1:9" ht="12.75" hidden="1" x14ac:dyDescent="0.2">
      <c r="A588" s="18"/>
      <c r="B588" s="20"/>
      <c r="C588" s="187" t="s">
        <v>165</v>
      </c>
      <c r="D588" s="198"/>
      <c r="E588" s="187" t="s">
        <v>165</v>
      </c>
      <c r="F588" s="198"/>
      <c r="G588" s="57">
        <f>G387+G183</f>
        <v>27875.651990000002</v>
      </c>
      <c r="H588" s="57">
        <f>H387+H183</f>
        <v>23575.307820000002</v>
      </c>
      <c r="I588" s="63">
        <f t="shared" si="260"/>
        <v>84.573117172137586</v>
      </c>
    </row>
    <row r="589" spans="1:9" ht="12.75" hidden="1" x14ac:dyDescent="0.2">
      <c r="A589" s="18"/>
      <c r="B589" s="20"/>
      <c r="C589" s="13" t="s">
        <v>30</v>
      </c>
      <c r="D589" s="12" t="s">
        <v>12</v>
      </c>
      <c r="E589" s="13" t="s">
        <v>30</v>
      </c>
      <c r="F589" s="12" t="s">
        <v>12</v>
      </c>
      <c r="G589" s="57">
        <f>G388</f>
        <v>6699.2</v>
      </c>
      <c r="H589" s="57">
        <f>H388</f>
        <v>5844.2</v>
      </c>
      <c r="I589" s="63">
        <f t="shared" si="260"/>
        <v>87.237282063529975</v>
      </c>
    </row>
    <row r="590" spans="1:9" ht="12.75" hidden="1" x14ac:dyDescent="0.2">
      <c r="A590" s="18"/>
      <c r="B590" s="20"/>
      <c r="C590" s="13" t="s">
        <v>30</v>
      </c>
      <c r="D590" s="12" t="s">
        <v>23</v>
      </c>
      <c r="E590" s="13" t="s">
        <v>30</v>
      </c>
      <c r="F590" s="12" t="s">
        <v>23</v>
      </c>
      <c r="G590" s="57">
        <f>G397</f>
        <v>19660.522390000002</v>
      </c>
      <c r="H590" s="57">
        <f>H397</f>
        <v>16771.90957</v>
      </c>
      <c r="I590" s="63">
        <f t="shared" si="260"/>
        <v>85.307547975076972</v>
      </c>
    </row>
    <row r="591" spans="1:9" ht="12.75" hidden="1" x14ac:dyDescent="0.2">
      <c r="A591" s="18"/>
      <c r="B591" s="20"/>
      <c r="C591" s="13" t="s">
        <v>30</v>
      </c>
      <c r="D591" s="12" t="s">
        <v>6</v>
      </c>
      <c r="E591" s="13" t="s">
        <v>30</v>
      </c>
      <c r="F591" s="12" t="s">
        <v>6</v>
      </c>
      <c r="G591" s="57">
        <f>G436+G184</f>
        <v>1515.9295999999999</v>
      </c>
      <c r="H591" s="57">
        <f>H436+H184</f>
        <v>959.19825000000003</v>
      </c>
      <c r="I591" s="63">
        <f t="shared" si="260"/>
        <v>63.274590719780136</v>
      </c>
    </row>
    <row r="592" spans="1:9" ht="12.75" hidden="1" x14ac:dyDescent="0.2">
      <c r="A592" s="18"/>
      <c r="B592" s="20"/>
      <c r="C592" s="185" t="s">
        <v>162</v>
      </c>
      <c r="D592" s="203"/>
      <c r="E592" s="185" t="s">
        <v>162</v>
      </c>
      <c r="F592" s="203"/>
      <c r="G592" s="57"/>
      <c r="H592" s="57"/>
      <c r="I592" s="63" t="e">
        <f t="shared" si="260"/>
        <v>#DIV/0!</v>
      </c>
    </row>
    <row r="593" spans="1:9" ht="12.75" hidden="1" x14ac:dyDescent="0.2">
      <c r="A593" s="18"/>
      <c r="B593" s="20"/>
      <c r="C593" s="13" t="s">
        <v>46</v>
      </c>
      <c r="D593" s="12" t="s">
        <v>30</v>
      </c>
      <c r="E593" s="13" t="s">
        <v>46</v>
      </c>
      <c r="F593" s="12" t="s">
        <v>30</v>
      </c>
      <c r="G593" s="57"/>
      <c r="H593" s="57"/>
      <c r="I593" s="63" t="e">
        <f t="shared" si="260"/>
        <v>#DIV/0!</v>
      </c>
    </row>
    <row r="594" spans="1:9" ht="12.75" hidden="1" x14ac:dyDescent="0.2">
      <c r="A594" s="18"/>
      <c r="B594" s="20"/>
      <c r="C594" s="187" t="s">
        <v>159</v>
      </c>
      <c r="D594" s="198"/>
      <c r="E594" s="187" t="s">
        <v>159</v>
      </c>
      <c r="F594" s="198"/>
      <c r="G594" s="57">
        <f>G10+G440+G481</f>
        <v>528439.43171000003</v>
      </c>
      <c r="H594" s="57">
        <f>H10+H440+H481</f>
        <v>525503.63780000003</v>
      </c>
      <c r="I594" s="63">
        <f t="shared" si="260"/>
        <v>99.444440794189049</v>
      </c>
    </row>
    <row r="595" spans="1:9" ht="12.75" hidden="1" x14ac:dyDescent="0.2">
      <c r="A595" s="18"/>
      <c r="B595" s="20"/>
      <c r="C595" s="13" t="s">
        <v>69</v>
      </c>
      <c r="D595" s="12" t="s">
        <v>12</v>
      </c>
      <c r="E595" s="13" t="s">
        <v>69</v>
      </c>
      <c r="F595" s="12" t="s">
        <v>12</v>
      </c>
      <c r="G595" s="57">
        <f>G11</f>
        <v>99285.081839999999</v>
      </c>
      <c r="H595" s="57">
        <f>H11</f>
        <v>98905.074840000001</v>
      </c>
      <c r="I595" s="63">
        <f t="shared" si="260"/>
        <v>99.617256698632346</v>
      </c>
    </row>
    <row r="596" spans="1:9" ht="12.75" hidden="1" x14ac:dyDescent="0.2">
      <c r="A596" s="18"/>
      <c r="B596" s="20"/>
      <c r="C596" s="13" t="s">
        <v>69</v>
      </c>
      <c r="D596" s="12" t="s">
        <v>23</v>
      </c>
      <c r="E596" s="13" t="s">
        <v>69</v>
      </c>
      <c r="F596" s="12" t="s">
        <v>23</v>
      </c>
      <c r="G596" s="57">
        <f>G39+G441</f>
        <v>357456.62796000001</v>
      </c>
      <c r="H596" s="57">
        <f>H39+H441</f>
        <v>355174.22696</v>
      </c>
      <c r="I596" s="63">
        <f t="shared" si="260"/>
        <v>99.361488689403899</v>
      </c>
    </row>
    <row r="597" spans="1:9" ht="12.75" hidden="1" x14ac:dyDescent="0.2">
      <c r="A597" s="18"/>
      <c r="B597" s="20"/>
      <c r="C597" s="13" t="s">
        <v>69</v>
      </c>
      <c r="D597" s="12" t="s">
        <v>6</v>
      </c>
      <c r="E597" s="13" t="s">
        <v>69</v>
      </c>
      <c r="F597" s="12" t="s">
        <v>6</v>
      </c>
      <c r="G597" s="57">
        <f>G76+G482</f>
        <v>50552.561910000004</v>
      </c>
      <c r="H597" s="57">
        <f>H76+H482</f>
        <v>50288.413799999995</v>
      </c>
      <c r="I597" s="63">
        <f t="shared" si="260"/>
        <v>99.477478291861303</v>
      </c>
    </row>
    <row r="598" spans="1:9" ht="12.75" hidden="1" x14ac:dyDescent="0.2">
      <c r="A598" s="18"/>
      <c r="B598" s="20"/>
      <c r="C598" s="13" t="s">
        <v>69</v>
      </c>
      <c r="D598" s="12" t="s">
        <v>30</v>
      </c>
      <c r="E598" s="13" t="s">
        <v>69</v>
      </c>
      <c r="F598" s="12" t="s">
        <v>30</v>
      </c>
      <c r="G598" s="57"/>
      <c r="H598" s="57"/>
      <c r="I598" s="63" t="e">
        <f t="shared" si="260"/>
        <v>#DIV/0!</v>
      </c>
    </row>
    <row r="599" spans="1:9" ht="12.75" hidden="1" x14ac:dyDescent="0.2">
      <c r="A599" s="18"/>
      <c r="B599" s="20"/>
      <c r="C599" s="13" t="s">
        <v>69</v>
      </c>
      <c r="D599" s="12" t="s">
        <v>69</v>
      </c>
      <c r="E599" s="13" t="s">
        <v>69</v>
      </c>
      <c r="F599" s="12" t="s">
        <v>69</v>
      </c>
      <c r="G599" s="57">
        <f>G101+G498</f>
        <v>1354.3439999999998</v>
      </c>
      <c r="H599" s="57">
        <f>H101+H498</f>
        <v>1354.3371999999997</v>
      </c>
      <c r="I599" s="63">
        <f t="shared" si="260"/>
        <v>99.9994979119042</v>
      </c>
    </row>
    <row r="600" spans="1:9" ht="12.75" hidden="1" x14ac:dyDescent="0.2">
      <c r="A600" s="18"/>
      <c r="B600" s="20"/>
      <c r="C600" s="13" t="s">
        <v>69</v>
      </c>
      <c r="D600" s="12" t="s">
        <v>59</v>
      </c>
      <c r="E600" s="13" t="s">
        <v>69</v>
      </c>
      <c r="F600" s="12" t="s">
        <v>59</v>
      </c>
      <c r="G600" s="57">
        <f>G110</f>
        <v>19790.815999999999</v>
      </c>
      <c r="H600" s="57">
        <f>H110</f>
        <v>19781.584999999999</v>
      </c>
      <c r="I600" s="63">
        <f t="shared" si="260"/>
        <v>99.953357153136082</v>
      </c>
    </row>
    <row r="601" spans="1:9" ht="12.75" hidden="1" x14ac:dyDescent="0.2">
      <c r="A601" s="18"/>
      <c r="B601" s="20"/>
      <c r="C601" s="187" t="s">
        <v>156</v>
      </c>
      <c r="D601" s="198"/>
      <c r="E601" s="187" t="s">
        <v>156</v>
      </c>
      <c r="F601" s="198"/>
      <c r="G601" s="57">
        <f>G505+G190</f>
        <v>60823.706259999999</v>
      </c>
      <c r="H601" s="57">
        <f>H505+H190</f>
        <v>60823.706259999999</v>
      </c>
      <c r="I601" s="63">
        <f t="shared" si="260"/>
        <v>100</v>
      </c>
    </row>
    <row r="602" spans="1:9" ht="12.75" hidden="1" x14ac:dyDescent="0.2">
      <c r="A602" s="18"/>
      <c r="B602" s="20"/>
      <c r="C602" s="13" t="s">
        <v>63</v>
      </c>
      <c r="D602" s="12" t="s">
        <v>12</v>
      </c>
      <c r="E602" s="13" t="s">
        <v>63</v>
      </c>
      <c r="F602" s="12" t="s">
        <v>12</v>
      </c>
      <c r="G602" s="57">
        <f>G506+G191</f>
        <v>49630.937559999998</v>
      </c>
      <c r="H602" s="57">
        <f>H506+H191</f>
        <v>49630.937559999998</v>
      </c>
      <c r="I602" s="63">
        <f t="shared" si="260"/>
        <v>100</v>
      </c>
    </row>
    <row r="603" spans="1:9" ht="12.75" hidden="1" x14ac:dyDescent="0.2">
      <c r="A603" s="18"/>
      <c r="B603" s="20"/>
      <c r="C603" s="13" t="s">
        <v>63</v>
      </c>
      <c r="D603" s="12" t="s">
        <v>52</v>
      </c>
      <c r="E603" s="13" t="s">
        <v>63</v>
      </c>
      <c r="F603" s="12" t="s">
        <v>52</v>
      </c>
      <c r="G603" s="57">
        <f>G528</f>
        <v>11192.768700000001</v>
      </c>
      <c r="H603" s="57">
        <f>H528</f>
        <v>11192.768700000001</v>
      </c>
      <c r="I603" s="63">
        <f t="shared" si="260"/>
        <v>100</v>
      </c>
    </row>
    <row r="604" spans="1:9" ht="12.75" hidden="1" x14ac:dyDescent="0.2">
      <c r="A604" s="18"/>
      <c r="B604" s="20"/>
      <c r="C604" s="187" t="s">
        <v>153</v>
      </c>
      <c r="D604" s="198"/>
      <c r="E604" s="187" t="s">
        <v>153</v>
      </c>
      <c r="F604" s="198"/>
      <c r="G604" s="57"/>
      <c r="H604" s="57"/>
      <c r="I604" s="63" t="e">
        <f t="shared" si="260"/>
        <v>#DIV/0!</v>
      </c>
    </row>
    <row r="605" spans="1:9" ht="12.75" hidden="1" x14ac:dyDescent="0.2">
      <c r="A605" s="18"/>
      <c r="B605" s="20"/>
      <c r="C605" s="13" t="s">
        <v>59</v>
      </c>
      <c r="D605" s="12" t="s">
        <v>12</v>
      </c>
      <c r="E605" s="13" t="s">
        <v>59</v>
      </c>
      <c r="F605" s="12" t="s">
        <v>12</v>
      </c>
      <c r="G605" s="57"/>
      <c r="H605" s="57"/>
      <c r="I605" s="63" t="e">
        <f t="shared" si="260"/>
        <v>#DIV/0!</v>
      </c>
    </row>
    <row r="606" spans="1:9" ht="12.75" hidden="1" x14ac:dyDescent="0.2">
      <c r="A606" s="18"/>
      <c r="B606" s="20"/>
      <c r="C606" s="13" t="s">
        <v>59</v>
      </c>
      <c r="D606" s="12" t="s">
        <v>23</v>
      </c>
      <c r="E606" s="13" t="s">
        <v>59</v>
      </c>
      <c r="F606" s="12" t="s">
        <v>23</v>
      </c>
      <c r="G606" s="57"/>
      <c r="H606" s="57"/>
      <c r="I606" s="63" t="e">
        <f t="shared" si="260"/>
        <v>#DIV/0!</v>
      </c>
    </row>
    <row r="607" spans="1:9" ht="12.75" hidden="1" x14ac:dyDescent="0.2">
      <c r="A607" s="18"/>
      <c r="B607" s="20"/>
      <c r="C607" s="13" t="s">
        <v>59</v>
      </c>
      <c r="D607" s="12" t="s">
        <v>52</v>
      </c>
      <c r="E607" s="13" t="s">
        <v>59</v>
      </c>
      <c r="F607" s="12" t="s">
        <v>52</v>
      </c>
      <c r="G607" s="57"/>
      <c r="H607" s="57"/>
      <c r="I607" s="63" t="e">
        <f t="shared" si="260"/>
        <v>#DIV/0!</v>
      </c>
    </row>
    <row r="608" spans="1:9" ht="12.75" hidden="1" x14ac:dyDescent="0.2">
      <c r="A608" s="18"/>
      <c r="B608" s="20"/>
      <c r="C608" s="13" t="s">
        <v>59</v>
      </c>
      <c r="D608" s="12" t="s">
        <v>59</v>
      </c>
      <c r="E608" s="13" t="s">
        <v>59</v>
      </c>
      <c r="F608" s="12" t="s">
        <v>59</v>
      </c>
      <c r="G608" s="57"/>
      <c r="H608" s="57"/>
      <c r="I608" s="63" t="e">
        <f t="shared" si="260"/>
        <v>#DIV/0!</v>
      </c>
    </row>
    <row r="609" spans="1:9" ht="12.75" hidden="1" x14ac:dyDescent="0.2">
      <c r="A609" s="18"/>
      <c r="B609" s="20"/>
      <c r="C609" s="187" t="s">
        <v>150</v>
      </c>
      <c r="D609" s="198"/>
      <c r="E609" s="187" t="s">
        <v>150</v>
      </c>
      <c r="F609" s="198"/>
      <c r="G609" s="57">
        <f>G135+G446+G550</f>
        <v>6104.0526099999997</v>
      </c>
      <c r="H609" s="57">
        <f>H135+H446+H550</f>
        <v>6097.5889299999999</v>
      </c>
      <c r="I609" s="63">
        <f t="shared" si="260"/>
        <v>99.894108383184459</v>
      </c>
    </row>
    <row r="610" spans="1:9" ht="12.75" hidden="1" x14ac:dyDescent="0.2">
      <c r="A610" s="18"/>
      <c r="B610" s="20"/>
      <c r="C610" s="13" t="s">
        <v>47</v>
      </c>
      <c r="D610" s="12" t="s">
        <v>12</v>
      </c>
      <c r="E610" s="13" t="s">
        <v>47</v>
      </c>
      <c r="F610" s="12" t="s">
        <v>12</v>
      </c>
      <c r="G610" s="57">
        <f>G447</f>
        <v>996.06065999999998</v>
      </c>
      <c r="H610" s="57">
        <f>H447</f>
        <v>996.06065999999998</v>
      </c>
      <c r="I610" s="63">
        <f t="shared" si="260"/>
        <v>100</v>
      </c>
    </row>
    <row r="611" spans="1:9" ht="12.75" hidden="1" x14ac:dyDescent="0.2">
      <c r="A611" s="18"/>
      <c r="B611" s="20"/>
      <c r="C611" s="13" t="s">
        <v>47</v>
      </c>
      <c r="D611" s="12" t="s">
        <v>23</v>
      </c>
      <c r="E611" s="13" t="s">
        <v>47</v>
      </c>
      <c r="F611" s="12" t="s">
        <v>23</v>
      </c>
      <c r="G611" s="57"/>
      <c r="H611" s="57"/>
      <c r="I611" s="63" t="e">
        <f t="shared" si="260"/>
        <v>#DIV/0!</v>
      </c>
    </row>
    <row r="612" spans="1:9" ht="12.75" hidden="1" x14ac:dyDescent="0.2">
      <c r="A612" s="18"/>
      <c r="B612" s="20"/>
      <c r="C612" s="13" t="s">
        <v>47</v>
      </c>
      <c r="D612" s="12" t="s">
        <v>6</v>
      </c>
      <c r="E612" s="13" t="s">
        <v>47</v>
      </c>
      <c r="F612" s="12" t="s">
        <v>6</v>
      </c>
      <c r="G612" s="57">
        <f>G453</f>
        <v>2539.8919499999997</v>
      </c>
      <c r="H612" s="57">
        <f>H453</f>
        <v>2539.8919499999997</v>
      </c>
      <c r="I612" s="63">
        <f t="shared" si="260"/>
        <v>100</v>
      </c>
    </row>
    <row r="613" spans="1:9" ht="12.75" hidden="1" x14ac:dyDescent="0.2">
      <c r="A613" s="18"/>
      <c r="B613" s="20"/>
      <c r="C613" s="13" t="s">
        <v>47</v>
      </c>
      <c r="D613" s="12" t="s">
        <v>52</v>
      </c>
      <c r="E613" s="13" t="s">
        <v>47</v>
      </c>
      <c r="F613" s="12" t="s">
        <v>52</v>
      </c>
      <c r="G613" s="57">
        <f>G136</f>
        <v>2443.1</v>
      </c>
      <c r="H613" s="57">
        <f>H136</f>
        <v>2436.6363199999996</v>
      </c>
      <c r="I613" s="63">
        <f t="shared" si="260"/>
        <v>99.735431214440666</v>
      </c>
    </row>
    <row r="614" spans="1:9" ht="12.75" hidden="1" x14ac:dyDescent="0.2">
      <c r="A614" s="18"/>
      <c r="B614" s="20"/>
      <c r="C614" s="13" t="s">
        <v>47</v>
      </c>
      <c r="D614" s="12" t="s">
        <v>46</v>
      </c>
      <c r="E614" s="13" t="s">
        <v>47</v>
      </c>
      <c r="F614" s="12" t="s">
        <v>46</v>
      </c>
      <c r="G614" s="57">
        <f>G551</f>
        <v>125</v>
      </c>
      <c r="H614" s="57">
        <f>H551</f>
        <v>125</v>
      </c>
      <c r="I614" s="63">
        <f t="shared" si="260"/>
        <v>100</v>
      </c>
    </row>
    <row r="615" spans="1:9" ht="12.75" hidden="1" x14ac:dyDescent="0.2">
      <c r="A615" s="18"/>
      <c r="B615" s="20"/>
      <c r="C615" s="187" t="s">
        <v>146</v>
      </c>
      <c r="D615" s="198"/>
      <c r="E615" s="187" t="s">
        <v>146</v>
      </c>
      <c r="F615" s="198"/>
      <c r="G615" s="57">
        <f>G616+G617</f>
        <v>1574.84527</v>
      </c>
      <c r="H615" s="57">
        <f t="shared" ref="H615" si="262">H616+H617</f>
        <v>1574.84527</v>
      </c>
      <c r="I615" s="63">
        <f t="shared" si="260"/>
        <v>100</v>
      </c>
    </row>
    <row r="616" spans="1:9" ht="12.75" hidden="1" x14ac:dyDescent="0.2">
      <c r="A616" s="18"/>
      <c r="B616" s="20"/>
      <c r="C616" s="13" t="s">
        <v>31</v>
      </c>
      <c r="D616" s="12" t="s">
        <v>12</v>
      </c>
      <c r="E616" s="13" t="s">
        <v>31</v>
      </c>
      <c r="F616" s="12" t="s">
        <v>12</v>
      </c>
      <c r="G616" s="57">
        <f>G558</f>
        <v>1574.84527</v>
      </c>
      <c r="H616" s="57">
        <f>H558</f>
        <v>1574.84527</v>
      </c>
      <c r="I616" s="63">
        <f t="shared" si="260"/>
        <v>100</v>
      </c>
    </row>
    <row r="617" spans="1:9" ht="12.75" hidden="1" x14ac:dyDescent="0.2">
      <c r="A617" s="18"/>
      <c r="B617" s="20"/>
      <c r="C617" s="15" t="s">
        <v>31</v>
      </c>
      <c r="D617" s="13" t="s">
        <v>30</v>
      </c>
      <c r="E617" s="15" t="s">
        <v>31</v>
      </c>
      <c r="F617" s="13" t="s">
        <v>30</v>
      </c>
      <c r="G617" s="57"/>
      <c r="H617" s="57"/>
      <c r="I617" s="63" t="e">
        <f t="shared" si="260"/>
        <v>#DIV/0!</v>
      </c>
    </row>
    <row r="618" spans="1:9" ht="12.75" hidden="1" x14ac:dyDescent="0.2">
      <c r="A618" s="18"/>
      <c r="B618" s="20"/>
      <c r="C618" s="187" t="s">
        <v>144</v>
      </c>
      <c r="D618" s="198"/>
      <c r="E618" s="187" t="s">
        <v>144</v>
      </c>
      <c r="F618" s="198"/>
      <c r="G618" s="57">
        <f>G471</f>
        <v>2355.56</v>
      </c>
      <c r="H618" s="57">
        <f>H471</f>
        <v>2355.56</v>
      </c>
      <c r="I618" s="63">
        <f t="shared" si="260"/>
        <v>100</v>
      </c>
    </row>
    <row r="619" spans="1:9" ht="12.75" hidden="1" x14ac:dyDescent="0.2">
      <c r="A619" s="18"/>
      <c r="B619" s="20"/>
      <c r="C619" s="13" t="s">
        <v>24</v>
      </c>
      <c r="D619" s="12" t="s">
        <v>23</v>
      </c>
      <c r="E619" s="13" t="s">
        <v>24</v>
      </c>
      <c r="F619" s="12" t="s">
        <v>23</v>
      </c>
      <c r="G619" s="57">
        <f>G472</f>
        <v>2355.56</v>
      </c>
      <c r="H619" s="57">
        <f>H472</f>
        <v>2355.56</v>
      </c>
      <c r="I619" s="63">
        <f t="shared" si="260"/>
        <v>100</v>
      </c>
    </row>
    <row r="620" spans="1:9" ht="12.75" hidden="1" x14ac:dyDescent="0.2">
      <c r="A620" s="18"/>
      <c r="B620" s="20"/>
      <c r="C620" s="187" t="s">
        <v>142</v>
      </c>
      <c r="D620" s="198"/>
      <c r="E620" s="187" t="s">
        <v>142</v>
      </c>
      <c r="F620" s="198"/>
      <c r="G620" s="57">
        <f>G155</f>
        <v>0.11099000000000001</v>
      </c>
      <c r="H620" s="57">
        <f>H155</f>
        <v>0.11099000000000001</v>
      </c>
      <c r="I620" s="63">
        <f t="shared" si="260"/>
        <v>100</v>
      </c>
    </row>
    <row r="621" spans="1:9" ht="12.75" hidden="1" x14ac:dyDescent="0.2">
      <c r="A621" s="18"/>
      <c r="B621" s="20"/>
      <c r="C621" s="13" t="s">
        <v>20</v>
      </c>
      <c r="D621" s="12" t="s">
        <v>12</v>
      </c>
      <c r="E621" s="13" t="s">
        <v>20</v>
      </c>
      <c r="F621" s="12" t="s">
        <v>12</v>
      </c>
      <c r="G621" s="57">
        <f>G156</f>
        <v>0.11099000000000001</v>
      </c>
      <c r="H621" s="57">
        <f>H156</f>
        <v>0.11099000000000001</v>
      </c>
      <c r="I621" s="63">
        <f t="shared" si="260"/>
        <v>100</v>
      </c>
    </row>
    <row r="622" spans="1:9" ht="12.75" hidden="1" x14ac:dyDescent="0.2">
      <c r="A622" s="18"/>
      <c r="B622" s="20"/>
      <c r="C622" s="187" t="s">
        <v>140</v>
      </c>
      <c r="D622" s="198"/>
      <c r="E622" s="187" t="s">
        <v>140</v>
      </c>
      <c r="F622" s="198"/>
      <c r="G622" s="57">
        <f>G202</f>
        <v>48868.630420000001</v>
      </c>
      <c r="H622" s="57">
        <f>H202</f>
        <v>48868.630420000001</v>
      </c>
      <c r="I622" s="63">
        <f t="shared" si="260"/>
        <v>100</v>
      </c>
    </row>
    <row r="623" spans="1:9" ht="12.75" hidden="1" x14ac:dyDescent="0.2">
      <c r="A623" s="18"/>
      <c r="B623" s="20"/>
      <c r="C623" s="13" t="s">
        <v>7</v>
      </c>
      <c r="D623" s="12" t="s">
        <v>12</v>
      </c>
      <c r="E623" s="13" t="s">
        <v>7</v>
      </c>
      <c r="F623" s="12" t="s">
        <v>12</v>
      </c>
      <c r="G623" s="57">
        <f>G203</f>
        <v>25893.9</v>
      </c>
      <c r="H623" s="57">
        <f>H203</f>
        <v>25893.9</v>
      </c>
      <c r="I623" s="63">
        <f t="shared" si="260"/>
        <v>100</v>
      </c>
    </row>
    <row r="624" spans="1:9" ht="12.75" hidden="1" x14ac:dyDescent="0.2">
      <c r="A624" s="18"/>
      <c r="B624" s="20"/>
      <c r="C624" s="13" t="s">
        <v>7</v>
      </c>
      <c r="D624" s="12" t="s">
        <v>6</v>
      </c>
      <c r="E624" s="13" t="s">
        <v>7</v>
      </c>
      <c r="F624" s="12" t="s">
        <v>6</v>
      </c>
      <c r="G624" s="57">
        <f>G209</f>
        <v>22974.73042</v>
      </c>
      <c r="H624" s="57">
        <f>H209</f>
        <v>22974.73042</v>
      </c>
      <c r="I624" s="63">
        <f t="shared" si="260"/>
        <v>100</v>
      </c>
    </row>
    <row r="625" spans="1:9" ht="12.75" hidden="1" x14ac:dyDescent="0.2">
      <c r="A625" s="18"/>
      <c r="B625" s="20"/>
      <c r="C625" s="13" t="s">
        <v>196</v>
      </c>
      <c r="D625" s="12" t="s">
        <v>196</v>
      </c>
      <c r="E625" s="13" t="s">
        <v>196</v>
      </c>
      <c r="F625" s="12" t="s">
        <v>196</v>
      </c>
      <c r="G625" s="57"/>
      <c r="H625" s="57"/>
      <c r="I625" s="63" t="e">
        <f t="shared" si="260"/>
        <v>#DIV/0!</v>
      </c>
    </row>
    <row r="626" spans="1:9" ht="12.75" hidden="1" x14ac:dyDescent="0.2">
      <c r="A626" s="18"/>
      <c r="B626" s="20"/>
      <c r="C626" s="20"/>
      <c r="D626" s="20"/>
      <c r="E626" s="61"/>
      <c r="F626" s="10"/>
      <c r="G626" s="57">
        <f t="shared" ref="G626" si="263">G566+G575+G577+G582+G588+G592+G594+G601+G604+G609+G615+G618+G620+G622+G625</f>
        <v>771023.35565000004</v>
      </c>
      <c r="H626" s="57">
        <f>H566+H575+H577+H582+H588+H592+H594+H601+H604+H609+H615+H618+H620+H622+H625</f>
        <v>757290.51688000001</v>
      </c>
      <c r="I626" s="63">
        <f t="shared" si="260"/>
        <v>98.218881611125425</v>
      </c>
    </row>
    <row r="627" spans="1:9" ht="12.75" hidden="1" x14ac:dyDescent="0.2">
      <c r="A627" s="18"/>
      <c r="G627" s="59">
        <f>G565-G626</f>
        <v>0</v>
      </c>
      <c r="H627" s="59">
        <f>H565-H626</f>
        <v>0</v>
      </c>
      <c r="I627" s="59">
        <f>I565-I626</f>
        <v>0</v>
      </c>
    </row>
    <row r="628" spans="1:9" hidden="1" x14ac:dyDescent="0.25"/>
    <row r="629" spans="1:9" hidden="1" x14ac:dyDescent="0.25">
      <c r="C629" s="44" t="e">
        <f>#REF!-D629</f>
        <v>#REF!</v>
      </c>
      <c r="D629" s="44" t="e">
        <f>#REF!+#REF!</f>
        <v>#REF!</v>
      </c>
      <c r="E629" s="38" t="s">
        <v>244</v>
      </c>
      <c r="F629" s="39"/>
      <c r="G629" s="60"/>
      <c r="H629" s="60"/>
      <c r="I629" s="60"/>
    </row>
    <row r="630" spans="1:9" hidden="1" x14ac:dyDescent="0.25">
      <c r="C630" s="44"/>
      <c r="D630" s="44"/>
      <c r="E630" s="38" t="s">
        <v>509</v>
      </c>
      <c r="F630" s="39"/>
      <c r="G630" s="60">
        <f>G237</f>
        <v>16426.969270000001</v>
      </c>
      <c r="H630" s="60">
        <f>H237</f>
        <v>16408.599169999998</v>
      </c>
      <c r="I630" s="69">
        <f>H630/G630*100</f>
        <v>99.88817109414363</v>
      </c>
    </row>
    <row r="631" spans="1:9" hidden="1" x14ac:dyDescent="0.25">
      <c r="C631" s="44" t="e">
        <f>#REF!-D631</f>
        <v>#REF!</v>
      </c>
      <c r="D631" s="44" t="e">
        <f>#REF!+#REF!</f>
        <v>#REF!</v>
      </c>
      <c r="E631" s="38" t="s">
        <v>55</v>
      </c>
      <c r="F631" s="39"/>
      <c r="G631" s="60">
        <f>G329+G455</f>
        <v>1319.9965500000001</v>
      </c>
      <c r="H631" s="60">
        <f>H329+H455</f>
        <v>1221.9409500000002</v>
      </c>
      <c r="I631" s="69">
        <f t="shared" ref="I631:I674" si="264">H631/G631*100</f>
        <v>92.571526039215797</v>
      </c>
    </row>
    <row r="632" spans="1:9" hidden="1" x14ac:dyDescent="0.25">
      <c r="C632" s="44" t="e">
        <f>#REF!-D632</f>
        <v>#REF!</v>
      </c>
      <c r="D632" s="44" t="e">
        <f>#REF!+#REF!</f>
        <v>#REF!</v>
      </c>
      <c r="E632" s="38" t="s">
        <v>26</v>
      </c>
      <c r="F632" s="39"/>
      <c r="G632" s="60">
        <f>G283+G353</f>
        <v>266.41638</v>
      </c>
      <c r="H632" s="60">
        <f>H283+H353</f>
        <v>258.06790000000001</v>
      </c>
      <c r="I632" s="69">
        <f t="shared" si="264"/>
        <v>96.866378861539971</v>
      </c>
    </row>
    <row r="633" spans="1:9" hidden="1" x14ac:dyDescent="0.25">
      <c r="C633" s="44" t="e">
        <f>#REF!-D633</f>
        <v>#REF!</v>
      </c>
      <c r="D633" s="44" t="e">
        <f>#REF!+#REF!</f>
        <v>#REF!</v>
      </c>
      <c r="E633" s="38" t="s">
        <v>88</v>
      </c>
      <c r="F633" s="39"/>
      <c r="G633" s="60">
        <f>G358</f>
        <v>415</v>
      </c>
      <c r="H633" s="60">
        <f>H358</f>
        <v>415</v>
      </c>
      <c r="I633" s="69">
        <f t="shared" si="264"/>
        <v>100</v>
      </c>
    </row>
    <row r="634" spans="1:9" hidden="1" x14ac:dyDescent="0.25">
      <c r="C634" s="44"/>
      <c r="D634" s="44"/>
      <c r="E634" s="38" t="s">
        <v>375</v>
      </c>
      <c r="F634" s="39"/>
      <c r="G634" s="60">
        <f>G474</f>
        <v>2355.56</v>
      </c>
      <c r="H634" s="60">
        <f>H474</f>
        <v>2355.56</v>
      </c>
      <c r="I634" s="69">
        <f t="shared" si="264"/>
        <v>100</v>
      </c>
    </row>
    <row r="635" spans="1:9" s="25" customFormat="1" ht="14.25" hidden="1" x14ac:dyDescent="0.2">
      <c r="A635" s="37"/>
      <c r="C635" s="44" t="e">
        <f>#REF!-D635</f>
        <v>#REF!</v>
      </c>
      <c r="D635" s="44" t="e">
        <f>#REF!+#REF!</f>
        <v>#REF!</v>
      </c>
      <c r="E635" s="40" t="s">
        <v>4</v>
      </c>
      <c r="F635" s="41"/>
      <c r="G635" s="36">
        <f>SUM(G629:G634)</f>
        <v>20783.942200000001</v>
      </c>
      <c r="H635" s="36">
        <f t="shared" ref="H635" si="265">SUM(H629:H634)</f>
        <v>20659.168020000001</v>
      </c>
      <c r="I635" s="71">
        <f t="shared" si="264"/>
        <v>99.399660666877722</v>
      </c>
    </row>
    <row r="636" spans="1:9" hidden="1" x14ac:dyDescent="0.25">
      <c r="C636" s="44" t="e">
        <f>#REF!-D636</f>
        <v>#REF!</v>
      </c>
      <c r="D636" s="44" t="e">
        <f>#REF!+#REF!</f>
        <v>#REF!</v>
      </c>
      <c r="E636" s="38" t="s">
        <v>364</v>
      </c>
      <c r="F636" s="39"/>
      <c r="G636" s="60"/>
      <c r="H636" s="60"/>
      <c r="I636" s="69" t="e">
        <f t="shared" si="264"/>
        <v>#DIV/0!</v>
      </c>
    </row>
    <row r="637" spans="1:9" hidden="1" x14ac:dyDescent="0.25">
      <c r="C637" s="44"/>
      <c r="D637" s="44"/>
      <c r="E637" s="38" t="s">
        <v>505</v>
      </c>
      <c r="F637" s="39"/>
      <c r="G637" s="60">
        <f>G530</f>
        <v>1769.52</v>
      </c>
      <c r="H637" s="60">
        <f>H530</f>
        <v>1769.52</v>
      </c>
      <c r="I637" s="69">
        <f t="shared" si="264"/>
        <v>100</v>
      </c>
    </row>
    <row r="638" spans="1:9" hidden="1" x14ac:dyDescent="0.25">
      <c r="C638" s="44" t="e">
        <f>#REF!-D638</f>
        <v>#REF!</v>
      </c>
      <c r="D638" s="44" t="e">
        <f>#REF!+#REF!</f>
        <v>#REF!</v>
      </c>
      <c r="E638" s="38" t="s">
        <v>365</v>
      </c>
      <c r="F638" s="39"/>
      <c r="G638" s="60">
        <f>G536</f>
        <v>9353.0800500000005</v>
      </c>
      <c r="H638" s="60">
        <f>H536</f>
        <v>9353.0800500000005</v>
      </c>
      <c r="I638" s="69">
        <f t="shared" si="264"/>
        <v>100</v>
      </c>
    </row>
    <row r="639" spans="1:9" hidden="1" x14ac:dyDescent="0.25">
      <c r="C639" s="44" t="e">
        <f>#REF!-D639</f>
        <v>#REF!</v>
      </c>
      <c r="D639" s="44" t="e">
        <f>#REF!+#REF!</f>
        <v>#REF!</v>
      </c>
      <c r="E639" s="38" t="s">
        <v>34</v>
      </c>
      <c r="F639" s="39"/>
      <c r="G639" s="60">
        <f>G500+G288+G508+G560-G560-G500+G193</f>
        <v>48636.703160000005</v>
      </c>
      <c r="H639" s="60">
        <f>H500+H288+H508+H560-H560-H500+H193</f>
        <v>48636.703160000005</v>
      </c>
      <c r="I639" s="69">
        <f t="shared" si="264"/>
        <v>100</v>
      </c>
    </row>
    <row r="640" spans="1:9" hidden="1" x14ac:dyDescent="0.25">
      <c r="C640" s="44" t="e">
        <f>#REF!-D640</f>
        <v>#REF!</v>
      </c>
      <c r="D640" s="44" t="e">
        <f>#REF!+#REF!</f>
        <v>#REF!</v>
      </c>
      <c r="E640" s="38" t="s">
        <v>50</v>
      </c>
      <c r="F640" s="39"/>
      <c r="G640" s="60">
        <f>G247+G449+G553+G460</f>
        <v>1992.39066</v>
      </c>
      <c r="H640" s="60">
        <f>H247+H449+H553+H460</f>
        <v>1992.39066</v>
      </c>
      <c r="I640" s="69">
        <f t="shared" si="264"/>
        <v>100</v>
      </c>
    </row>
    <row r="641" spans="1:9" hidden="1" x14ac:dyDescent="0.25">
      <c r="C641" s="44" t="e">
        <f>#REF!-D641</f>
        <v>#REF!</v>
      </c>
      <c r="D641" s="44" t="e">
        <f>#REF!+#REF!</f>
        <v>#REF!</v>
      </c>
      <c r="E641" s="38" t="s">
        <v>53</v>
      </c>
      <c r="F641" s="39"/>
      <c r="G641" s="60"/>
      <c r="H641" s="60"/>
      <c r="I641" s="69" t="e">
        <f t="shared" si="264"/>
        <v>#DIV/0!</v>
      </c>
    </row>
    <row r="642" spans="1:9" hidden="1" x14ac:dyDescent="0.25">
      <c r="C642" s="44" t="e">
        <f>#REF!-D642</f>
        <v>#REF!</v>
      </c>
      <c r="D642" s="44" t="e">
        <f>#REF!+#REF!</f>
        <v>#REF!</v>
      </c>
      <c r="E642" s="38" t="s">
        <v>325</v>
      </c>
      <c r="F642" s="39"/>
      <c r="G642" s="60">
        <f>G560+G500+G464</f>
        <v>2500.5106700000001</v>
      </c>
      <c r="H642" s="60">
        <f>H560+H500+H464</f>
        <v>2500.5106700000001</v>
      </c>
      <c r="I642" s="69">
        <f t="shared" si="264"/>
        <v>100</v>
      </c>
    </row>
    <row r="643" spans="1:9" s="25" customFormat="1" ht="14.25" hidden="1" x14ac:dyDescent="0.2">
      <c r="A643" s="37"/>
      <c r="C643" s="44" t="e">
        <f>#REF!-D643</f>
        <v>#REF!</v>
      </c>
      <c r="D643" s="44" t="e">
        <f>#REF!+#REF!</f>
        <v>#REF!</v>
      </c>
      <c r="E643" s="40" t="s">
        <v>3</v>
      </c>
      <c r="F643" s="41"/>
      <c r="G643" s="36">
        <f>SUM(G636:G642)</f>
        <v>64252.204540000006</v>
      </c>
      <c r="H643" s="36">
        <f t="shared" ref="H643" si="266">SUM(H636:H642)</f>
        <v>64252.204540000006</v>
      </c>
      <c r="I643" s="71">
        <f t="shared" si="264"/>
        <v>100</v>
      </c>
    </row>
    <row r="644" spans="1:9" hidden="1" x14ac:dyDescent="0.25">
      <c r="C644" s="44" t="e">
        <f>#REF!-D644</f>
        <v>#REF!</v>
      </c>
      <c r="D644" s="44" t="e">
        <f>#REF!+#REF!</f>
        <v>#REF!</v>
      </c>
      <c r="E644" s="38" t="s">
        <v>117</v>
      </c>
      <c r="F644" s="39"/>
      <c r="G644" s="60"/>
      <c r="H644" s="60"/>
      <c r="I644" s="69" t="e">
        <f t="shared" si="264"/>
        <v>#DIV/0!</v>
      </c>
    </row>
    <row r="645" spans="1:9" hidden="1" x14ac:dyDescent="0.25">
      <c r="C645" s="44"/>
      <c r="D645" s="44"/>
      <c r="E645" s="38" t="s">
        <v>496</v>
      </c>
      <c r="F645" s="39"/>
      <c r="G645" s="60">
        <f>G147</f>
        <v>6040.5990099999999</v>
      </c>
      <c r="H645" s="60">
        <f>H147</f>
        <v>6036.1320299999998</v>
      </c>
      <c r="I645" s="69">
        <f t="shared" si="264"/>
        <v>99.926050711318453</v>
      </c>
    </row>
    <row r="646" spans="1:9" hidden="1" x14ac:dyDescent="0.25">
      <c r="C646" s="44" t="e">
        <f>#REF!-D646</f>
        <v>#REF!</v>
      </c>
      <c r="D646" s="44" t="e">
        <f>#REF!+#REF!</f>
        <v>#REF!</v>
      </c>
      <c r="E646" s="38" t="s">
        <v>11</v>
      </c>
      <c r="F646" s="39"/>
      <c r="G646" s="60">
        <f>G158+G205+G266+G294+G211+G198</f>
        <v>50479.194810000001</v>
      </c>
      <c r="H646" s="60">
        <f>H158+H205+H266+H294+H211+H198</f>
        <v>50469.794809999999</v>
      </c>
      <c r="I646" s="69">
        <f t="shared" si="264"/>
        <v>99.98137846684088</v>
      </c>
    </row>
    <row r="647" spans="1:9" hidden="1" x14ac:dyDescent="0.25">
      <c r="C647" s="44" t="e">
        <f>#REF!-D647</f>
        <v>#REF!</v>
      </c>
      <c r="D647" s="44" t="e">
        <f>#REF!+#REF!</f>
        <v>#REF!</v>
      </c>
      <c r="E647" s="38" t="s">
        <v>82</v>
      </c>
      <c r="F647" s="39"/>
      <c r="G647" s="60"/>
      <c r="H647" s="60"/>
      <c r="I647" s="69" t="e">
        <f t="shared" si="264"/>
        <v>#DIV/0!</v>
      </c>
    </row>
    <row r="648" spans="1:9" s="25" customFormat="1" ht="14.25" hidden="1" x14ac:dyDescent="0.2">
      <c r="A648" s="37"/>
      <c r="C648" s="44" t="e">
        <f>#REF!-D648</f>
        <v>#REF!</v>
      </c>
      <c r="D648" s="44" t="e">
        <f>#REF!+#REF!</f>
        <v>#REF!</v>
      </c>
      <c r="E648" s="40" t="s">
        <v>2</v>
      </c>
      <c r="F648" s="41"/>
      <c r="G648" s="36">
        <f>SUM(G644:G647)</f>
        <v>56519.793819999999</v>
      </c>
      <c r="H648" s="36">
        <f t="shared" ref="H648" si="267">SUM(H644:H647)</f>
        <v>56505.92684</v>
      </c>
      <c r="I648" s="71">
        <f t="shared" si="264"/>
        <v>99.975465267895075</v>
      </c>
    </row>
    <row r="649" spans="1:9" hidden="1" x14ac:dyDescent="0.25">
      <c r="C649" s="44" t="e">
        <f>#REF!-D649</f>
        <v>#REF!</v>
      </c>
      <c r="D649" s="44" t="e">
        <f>#REF!+#REF!</f>
        <v>#REF!</v>
      </c>
      <c r="E649" s="38" t="s">
        <v>301</v>
      </c>
      <c r="F649" s="39"/>
      <c r="G649" s="57">
        <f>G303</f>
        <v>4680.76</v>
      </c>
      <c r="H649" s="57">
        <f>H303</f>
        <v>4662.20903</v>
      </c>
      <c r="I649" s="69">
        <f t="shared" si="264"/>
        <v>99.603676112426186</v>
      </c>
    </row>
    <row r="650" spans="1:9" hidden="1" x14ac:dyDescent="0.25">
      <c r="C650" s="44" t="e">
        <f>#REF!-D650</f>
        <v>#REF!</v>
      </c>
      <c r="D650" s="44" t="e">
        <f>#REF!+#REF!</f>
        <v>#REF!</v>
      </c>
      <c r="E650" s="38" t="s">
        <v>300</v>
      </c>
      <c r="F650" s="39"/>
      <c r="G650" s="57">
        <f>G399</f>
        <v>2199.433</v>
      </c>
      <c r="H650" s="57">
        <f>H399</f>
        <v>1400.5934199999999</v>
      </c>
      <c r="I650" s="69">
        <f t="shared" si="264"/>
        <v>63.67974928083737</v>
      </c>
    </row>
    <row r="651" spans="1:9" hidden="1" x14ac:dyDescent="0.25">
      <c r="C651" s="44" t="e">
        <f>#REF!-D651</f>
        <v>#REF!</v>
      </c>
      <c r="D651" s="44" t="e">
        <f>#REF!+#REF!</f>
        <v>#REF!</v>
      </c>
      <c r="E651" s="38" t="s">
        <v>81</v>
      </c>
      <c r="F651" s="39"/>
      <c r="G651" s="57">
        <f>G322+G252+G311</f>
        <v>1787.0245</v>
      </c>
      <c r="H651" s="57">
        <f>H322+H252+H311</f>
        <v>1787.0245</v>
      </c>
      <c r="I651" s="69">
        <f t="shared" si="264"/>
        <v>100</v>
      </c>
    </row>
    <row r="652" spans="1:9" hidden="1" x14ac:dyDescent="0.25">
      <c r="C652" s="44" t="e">
        <f>#REF!-D652</f>
        <v>#REF!</v>
      </c>
      <c r="D652" s="44" t="e">
        <f>#REF!+#REF!</f>
        <v>#REF!</v>
      </c>
      <c r="E652" s="38" t="s">
        <v>79</v>
      </c>
      <c r="F652" s="39"/>
      <c r="G652" s="57">
        <f>G407+G257+G436+G186</f>
        <v>18398.156940000001</v>
      </c>
      <c r="H652" s="57">
        <f>H407+H257+H436+H186</f>
        <v>15752.017400000002</v>
      </c>
      <c r="I652" s="69">
        <f t="shared" si="264"/>
        <v>85.617366192550818</v>
      </c>
    </row>
    <row r="653" spans="1:9" hidden="1" x14ac:dyDescent="0.25">
      <c r="C653" s="44" t="e">
        <f>#REF!-D653</f>
        <v>#REF!</v>
      </c>
      <c r="D653" s="44" t="e">
        <f>#REF!+#REF!</f>
        <v>#REF!</v>
      </c>
      <c r="E653" s="38" t="s">
        <v>278</v>
      </c>
      <c r="F653" s="39"/>
      <c r="G653" s="57">
        <f>G345+G171</f>
        <v>22431.733650000002</v>
      </c>
      <c r="H653" s="57">
        <f>H345+H171</f>
        <v>18617.486969999998</v>
      </c>
      <c r="I653" s="69">
        <f t="shared" si="264"/>
        <v>82.996201989942918</v>
      </c>
    </row>
    <row r="654" spans="1:9" hidden="1" x14ac:dyDescent="0.25">
      <c r="C654" s="44" t="e">
        <f>#REF!-D654</f>
        <v>#REF!</v>
      </c>
      <c r="D654" s="44" t="e">
        <f>#REF!+#REF!</f>
        <v>#REF!</v>
      </c>
      <c r="E654" s="38" t="s">
        <v>299</v>
      </c>
      <c r="F654" s="39"/>
      <c r="G654" s="57"/>
      <c r="H654" s="57"/>
      <c r="I654" s="69" t="e">
        <f t="shared" si="264"/>
        <v>#DIV/0!</v>
      </c>
    </row>
    <row r="655" spans="1:9" hidden="1" x14ac:dyDescent="0.25">
      <c r="C655" s="44"/>
      <c r="D655" s="44"/>
      <c r="E655" s="38" t="s">
        <v>356</v>
      </c>
      <c r="F655" s="39"/>
      <c r="G655" s="57">
        <f>G339</f>
        <v>2326.18453</v>
      </c>
      <c r="H655" s="57">
        <f>H339</f>
        <v>1626.18453</v>
      </c>
      <c r="I655" s="69">
        <f t="shared" si="264"/>
        <v>69.907804347748808</v>
      </c>
    </row>
    <row r="656" spans="1:9" s="25" customFormat="1" ht="14.25" hidden="1" x14ac:dyDescent="0.2">
      <c r="A656" s="37"/>
      <c r="C656" s="44" t="e">
        <f>#REF!-D656</f>
        <v>#REF!</v>
      </c>
      <c r="D656" s="44" t="e">
        <f>#REF!+#REF!</f>
        <v>#REF!</v>
      </c>
      <c r="E656" s="40" t="s">
        <v>1</v>
      </c>
      <c r="F656" s="41"/>
      <c r="G656" s="36">
        <f>SUM(G649:G655)</f>
        <v>51823.29262</v>
      </c>
      <c r="H656" s="36">
        <f>SUM(H649:H655)</f>
        <v>43845.515849999996</v>
      </c>
      <c r="I656" s="71">
        <f t="shared" si="264"/>
        <v>84.605808765379052</v>
      </c>
    </row>
    <row r="657" spans="1:9" hidden="1" x14ac:dyDescent="0.25">
      <c r="C657" s="44" t="e">
        <f>#REF!-D657</f>
        <v>#REF!</v>
      </c>
      <c r="D657" s="44" t="e">
        <f>#REF!+#REF!</f>
        <v>#REF!</v>
      </c>
      <c r="E657" s="38" t="s">
        <v>245</v>
      </c>
      <c r="F657" s="39"/>
      <c r="G657" s="57"/>
      <c r="H657" s="57"/>
      <c r="I657" s="69" t="e">
        <f t="shared" si="264"/>
        <v>#DIV/0!</v>
      </c>
    </row>
    <row r="658" spans="1:9" s="25" customFormat="1" ht="14.25" hidden="1" x14ac:dyDescent="0.2">
      <c r="A658" s="37"/>
      <c r="C658" s="25" t="s">
        <v>288</v>
      </c>
      <c r="E658" s="40" t="s">
        <v>204</v>
      </c>
      <c r="F658" s="41"/>
      <c r="G658" s="36">
        <f t="shared" ref="G658:H658" si="268">G657</f>
        <v>0</v>
      </c>
      <c r="H658" s="36">
        <f t="shared" si="268"/>
        <v>0</v>
      </c>
      <c r="I658" s="71" t="e">
        <f t="shared" si="264"/>
        <v>#DIV/0!</v>
      </c>
    </row>
    <row r="659" spans="1:9" hidden="1" x14ac:dyDescent="0.25">
      <c r="C659" s="44" t="e">
        <f>#REF!-D659</f>
        <v>#REF!</v>
      </c>
      <c r="D659" s="44" t="e">
        <f>#REF!+#REF!</f>
        <v>#REF!</v>
      </c>
      <c r="E659" s="38" t="s">
        <v>321</v>
      </c>
      <c r="F659" s="39"/>
      <c r="G659" s="57"/>
      <c r="H659" s="57"/>
      <c r="I659" s="69" t="e">
        <f t="shared" si="264"/>
        <v>#DIV/0!</v>
      </c>
    </row>
    <row r="660" spans="1:9" hidden="1" x14ac:dyDescent="0.25">
      <c r="C660" s="44"/>
      <c r="D660" s="44"/>
      <c r="E660" s="38" t="s">
        <v>491</v>
      </c>
      <c r="F660" s="39"/>
      <c r="G660" s="57">
        <f>G112</f>
        <v>3978.8510000000001</v>
      </c>
      <c r="H660" s="57">
        <f>H112</f>
        <v>3969.6840000000002</v>
      </c>
      <c r="I660" s="69">
        <f t="shared" si="264"/>
        <v>99.769606853837956</v>
      </c>
    </row>
    <row r="661" spans="1:9" hidden="1" x14ac:dyDescent="0.25">
      <c r="C661" s="44" t="e">
        <f>#REF!-D661</f>
        <v>#REF!</v>
      </c>
      <c r="D661" s="44" t="e">
        <f>#REF!+#REF!</f>
        <v>#REF!</v>
      </c>
      <c r="E661" s="38" t="s">
        <v>322</v>
      </c>
      <c r="F661" s="39"/>
      <c r="G661" s="57"/>
      <c r="H661" s="57"/>
      <c r="I661" s="69" t="e">
        <f t="shared" si="264"/>
        <v>#DIV/0!</v>
      </c>
    </row>
    <row r="662" spans="1:9" hidden="1" x14ac:dyDescent="0.25">
      <c r="C662" s="44" t="e">
        <f>#REF!-D662</f>
        <v>#REF!</v>
      </c>
      <c r="D662" s="44" t="e">
        <f>#REF!+#REF!</f>
        <v>#REF!</v>
      </c>
      <c r="E662" s="38" t="s">
        <v>323</v>
      </c>
      <c r="F662" s="39"/>
      <c r="G662" s="57">
        <f>G120</f>
        <v>15811.965</v>
      </c>
      <c r="H662" s="57">
        <f>H120</f>
        <v>15811.900999999998</v>
      </c>
      <c r="I662" s="69">
        <f t="shared" si="264"/>
        <v>99.999595243222444</v>
      </c>
    </row>
    <row r="663" spans="1:9" hidden="1" x14ac:dyDescent="0.25">
      <c r="C663" s="44" t="e">
        <f>#REF!-D663</f>
        <v>#REF!</v>
      </c>
      <c r="D663" s="44" t="e">
        <f>#REF!+#REF!</f>
        <v>#REF!</v>
      </c>
      <c r="E663" s="38" t="s">
        <v>303</v>
      </c>
      <c r="F663" s="39"/>
      <c r="G663" s="57">
        <f>G13+G41+G138+G442+G390</f>
        <v>460784.80979999999</v>
      </c>
      <c r="H663" s="57">
        <f>H13+H41+H138+H442+H390</f>
        <v>458115.93812000001</v>
      </c>
      <c r="I663" s="69">
        <f t="shared" si="264"/>
        <v>99.420798684496916</v>
      </c>
    </row>
    <row r="664" spans="1:9" hidden="1" x14ac:dyDescent="0.25">
      <c r="C664" s="44" t="e">
        <f>#REF!-D664</f>
        <v>#REF!</v>
      </c>
      <c r="D664" s="44" t="e">
        <f>#REF!+#REF!</f>
        <v>#REF!</v>
      </c>
      <c r="E664" s="38" t="s">
        <v>309</v>
      </c>
      <c r="F664" s="39"/>
      <c r="G664" s="57">
        <f>G78+G103+G484</f>
        <v>51702.487910000003</v>
      </c>
      <c r="H664" s="57">
        <f>H78+H103+H484</f>
        <v>51438.332999999999</v>
      </c>
      <c r="I664" s="69">
        <f t="shared" si="264"/>
        <v>99.489086655830121</v>
      </c>
    </row>
    <row r="665" spans="1:9" ht="14.25" hidden="1" x14ac:dyDescent="0.2">
      <c r="C665" s="44" t="e">
        <f>#REF!-D665</f>
        <v>#REF!</v>
      </c>
      <c r="D665" s="44" t="e">
        <f>#REF!+#REF!</f>
        <v>#REF!</v>
      </c>
      <c r="E665" s="40" t="s">
        <v>324</v>
      </c>
      <c r="F665" s="39"/>
      <c r="G665" s="36">
        <f t="shared" ref="G665" si="269">SUM(G659:G664)</f>
        <v>532278.11370999995</v>
      </c>
      <c r="H665" s="36">
        <f t="shared" ref="H665" si="270">SUM(H659:H664)</f>
        <v>529335.85612000001</v>
      </c>
      <c r="I665" s="71">
        <f t="shared" si="264"/>
        <v>99.447233032090637</v>
      </c>
    </row>
    <row r="666" spans="1:9" hidden="1" x14ac:dyDescent="0.25">
      <c r="C666" s="44" t="e">
        <f>#REF!-D666</f>
        <v>#REF!</v>
      </c>
      <c r="D666" s="44" t="e">
        <f>#REF!+#REF!</f>
        <v>#REF!</v>
      </c>
      <c r="E666" s="38" t="s">
        <v>388</v>
      </c>
      <c r="F666" s="39"/>
      <c r="G666" s="57">
        <f>G366</f>
        <v>10630.119999999997</v>
      </c>
      <c r="H666" s="57">
        <f>H366</f>
        <v>10030.290209999999</v>
      </c>
      <c r="I666" s="69">
        <f t="shared" si="264"/>
        <v>94.357262288666561</v>
      </c>
    </row>
    <row r="667" spans="1:9" hidden="1" x14ac:dyDescent="0.25">
      <c r="C667" s="44" t="e">
        <f>#REF!-D667</f>
        <v>#REF!</v>
      </c>
      <c r="D667" s="44" t="e">
        <f>#REF!+#REF!</f>
        <v>#REF!</v>
      </c>
      <c r="E667" s="38" t="s">
        <v>289</v>
      </c>
      <c r="F667" s="39"/>
      <c r="G667" s="57">
        <f>G377</f>
        <v>20524.000329999999</v>
      </c>
      <c r="H667" s="57">
        <f>H377</f>
        <v>19332.578440000001</v>
      </c>
      <c r="I667" s="69">
        <f t="shared" si="264"/>
        <v>94.194982114385894</v>
      </c>
    </row>
    <row r="668" spans="1:9" hidden="1" x14ac:dyDescent="0.25">
      <c r="C668" s="44" t="e">
        <f>#REF!-D668</f>
        <v>#REF!</v>
      </c>
      <c r="D668" s="44" t="e">
        <f>#REF!+#REF!</f>
        <v>#REF!</v>
      </c>
      <c r="E668" s="38" t="s">
        <v>285</v>
      </c>
      <c r="F668" s="39"/>
      <c r="G668" s="57">
        <f>G179</f>
        <v>517</v>
      </c>
      <c r="H668" s="57">
        <f>H179</f>
        <v>517</v>
      </c>
      <c r="I668" s="69">
        <f t="shared" si="264"/>
        <v>100</v>
      </c>
    </row>
    <row r="669" spans="1:9" s="25" customFormat="1" ht="14.25" hidden="1" x14ac:dyDescent="0.2">
      <c r="A669" s="37"/>
      <c r="C669" s="44" t="e">
        <f>#REF!-D669</f>
        <v>#REF!</v>
      </c>
      <c r="D669" s="44" t="e">
        <f>#REF!+#REF!</f>
        <v>#REF!</v>
      </c>
      <c r="E669" s="40" t="s">
        <v>290</v>
      </c>
      <c r="F669" s="41"/>
      <c r="G669" s="36">
        <f>SUM(G666:G668)</f>
        <v>31671.120329999998</v>
      </c>
      <c r="H669" s="36">
        <f t="shared" ref="H669" si="271">SUM(H666:H668)</f>
        <v>29879.86865</v>
      </c>
      <c r="I669" s="71">
        <f t="shared" si="264"/>
        <v>94.344211188818406</v>
      </c>
    </row>
    <row r="670" spans="1:9" hidden="1" x14ac:dyDescent="0.25">
      <c r="C670" s="44" t="e">
        <f>#REF!-D670</f>
        <v>#REF!</v>
      </c>
      <c r="D670" s="44" t="e">
        <f>#REF!+#REF!</f>
        <v>#REF!</v>
      </c>
      <c r="E670" s="38"/>
      <c r="F670" s="39"/>
      <c r="G670" s="57"/>
      <c r="H670" s="57"/>
      <c r="I670" s="69" t="e">
        <f t="shared" si="264"/>
        <v>#DIV/0!</v>
      </c>
    </row>
    <row r="671" spans="1:9" hidden="1" x14ac:dyDescent="0.25">
      <c r="C671" s="44" t="e">
        <f>#REF!-D671</f>
        <v>#REF!</v>
      </c>
      <c r="D671" s="44" t="e">
        <f>#REF!+#REF!</f>
        <v>#REF!</v>
      </c>
      <c r="E671" s="38"/>
      <c r="F671" s="39"/>
      <c r="G671" s="57"/>
      <c r="H671" s="57"/>
      <c r="I671" s="69" t="e">
        <f t="shared" si="264"/>
        <v>#DIV/0!</v>
      </c>
    </row>
    <row r="672" spans="1:9" s="25" customFormat="1" ht="14.25" hidden="1" x14ac:dyDescent="0.2">
      <c r="A672" s="37"/>
      <c r="C672" s="44" t="e">
        <f>#REF!-D672</f>
        <v>#REF!</v>
      </c>
      <c r="D672" s="44" t="e">
        <f>#REF!+#REF!</f>
        <v>#REF!</v>
      </c>
      <c r="E672" s="40" t="s">
        <v>0</v>
      </c>
      <c r="F672" s="36" t="e">
        <f>#REF!+F226+F230+F232+F272</f>
        <v>#REF!</v>
      </c>
      <c r="G672" s="36">
        <f>G226+G230+G232+G272+G275+G382+G219+G73+G468+G547+G315+G496+G432+G165+G261+G394</f>
        <v>13694.888429999999</v>
      </c>
      <c r="H672" s="36">
        <f>H226+H230+H232+H272+H275+H382+H219+H73+H468+H547+H315+H496+H432+H165+H261+H394</f>
        <v>12811.976859999999</v>
      </c>
      <c r="I672" s="71">
        <f t="shared" si="264"/>
        <v>93.552984571485112</v>
      </c>
    </row>
    <row r="673" spans="3:9" ht="14.25" hidden="1" x14ac:dyDescent="0.2">
      <c r="C673" s="44" t="e">
        <f>#REF!-D673</f>
        <v>#REF!</v>
      </c>
      <c r="D673" s="44" t="e">
        <f>#REF!+#REF!</f>
        <v>#REF!</v>
      </c>
      <c r="E673" s="39" t="s">
        <v>246</v>
      </c>
      <c r="F673" s="39"/>
      <c r="G673" s="57"/>
      <c r="H673" s="57"/>
      <c r="I673" s="71"/>
    </row>
    <row r="674" spans="3:9" ht="14.25" hidden="1" x14ac:dyDescent="0.2">
      <c r="E674" s="39"/>
      <c r="F674" s="39"/>
      <c r="G674" s="57">
        <f>G635+G643+G648+G656+G658+G672+G673+G665+G669</f>
        <v>771023.35564999992</v>
      </c>
      <c r="H674" s="57">
        <f t="shared" ref="H674" si="272">H635+H643+H648+H656+H658+H672+H673+H665+H669</f>
        <v>757290.51688000001</v>
      </c>
      <c r="I674" s="71">
        <f t="shared" si="264"/>
        <v>98.218881611125425</v>
      </c>
    </row>
    <row r="675" spans="3:9" ht="12.75" hidden="1" x14ac:dyDescent="0.2">
      <c r="E675" s="39"/>
      <c r="F675" s="39"/>
      <c r="G675" s="57">
        <f>G565-G674</f>
        <v>0</v>
      </c>
      <c r="H675" s="57">
        <f>H565-H674</f>
        <v>0</v>
      </c>
      <c r="I675" s="57">
        <f>I565-I674</f>
        <v>0</v>
      </c>
    </row>
  </sheetData>
  <mergeCells count="35">
    <mergeCell ref="G1:I1"/>
    <mergeCell ref="A5:A7"/>
    <mergeCell ref="A3:I3"/>
    <mergeCell ref="C577:D577"/>
    <mergeCell ref="E566:F566"/>
    <mergeCell ref="E575:F575"/>
    <mergeCell ref="G2:I2"/>
    <mergeCell ref="E592:F592"/>
    <mergeCell ref="C575:D575"/>
    <mergeCell ref="E577:F577"/>
    <mergeCell ref="E582:F582"/>
    <mergeCell ref="E588:F588"/>
    <mergeCell ref="C609:D609"/>
    <mergeCell ref="C615:D615"/>
    <mergeCell ref="C618:D618"/>
    <mergeCell ref="C620:D620"/>
    <mergeCell ref="C582:D582"/>
    <mergeCell ref="C588:D588"/>
    <mergeCell ref="C592:D592"/>
    <mergeCell ref="E622:F622"/>
    <mergeCell ref="E615:F615"/>
    <mergeCell ref="E618:F618"/>
    <mergeCell ref="H5:H7"/>
    <mergeCell ref="I5:I7"/>
    <mergeCell ref="E620:F620"/>
    <mergeCell ref="E594:F594"/>
    <mergeCell ref="E601:F601"/>
    <mergeCell ref="E604:F604"/>
    <mergeCell ref="E609:F609"/>
    <mergeCell ref="B5:F6"/>
    <mergeCell ref="G5:G7"/>
    <mergeCell ref="C622:D622"/>
    <mergeCell ref="C594:D594"/>
    <mergeCell ref="C601:D601"/>
    <mergeCell ref="C604:D604"/>
  </mergeCells>
  <pageMargins left="0.78740157480314965" right="0" top="0" bottom="0" header="0" footer="0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7" sqref="D37"/>
    </sheetView>
  </sheetViews>
  <sheetFormatPr defaultRowHeight="15" x14ac:dyDescent="0.25"/>
  <sheetData>
    <row r="1" spans="1:1" ht="15.75" customHeight="1" x14ac:dyDescent="0.25">
      <c r="A1" t="s">
        <v>529</v>
      </c>
    </row>
    <row r="2" spans="1:1" x14ac:dyDescent="0.25">
      <c r="A2" t="s">
        <v>530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прил 1 Источн</vt:lpstr>
      <vt:lpstr>прил 2 Дох</vt:lpstr>
      <vt:lpstr>прил 3 Разд, подр-21г</vt:lpstr>
      <vt:lpstr>Вед стр 21г</vt:lpstr>
      <vt:lpstr>Лист1</vt:lpstr>
      <vt:lpstr>'Вед стр 21г'!Заголовки_для_печати</vt:lpstr>
      <vt:lpstr>'прил 2 Дох'!Заголовки_для_печати</vt:lpstr>
      <vt:lpstr>'Вед стр 21г'!Область_печати</vt:lpstr>
      <vt:lpstr>'прил 2 Дох'!Область_печати</vt:lpstr>
      <vt:lpstr>'прил 3 Разд, подр-21г'!Область_печати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finOtdeL</dc:creator>
  <cp:lastModifiedBy>MainAdmin</cp:lastModifiedBy>
  <cp:lastPrinted>2022-03-23T02:50:40Z</cp:lastPrinted>
  <dcterms:created xsi:type="dcterms:W3CDTF">2016-11-07T08:50:55Z</dcterms:created>
  <dcterms:modified xsi:type="dcterms:W3CDTF">2022-06-15T05:10:22Z</dcterms:modified>
</cp:coreProperties>
</file>